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ocoasrv2\Accounting\Budget\22-23\State Report\"/>
    </mc:Choice>
  </mc:AlternateContent>
  <xr:revisionPtr revIDLastSave="0" documentId="8_{683B6BFB-FB13-428D-B3AC-1A9CD14056D5}" xr6:coauthVersionLast="45" xr6:coauthVersionMax="45" xr10:uidLastSave="{00000000-0000-0000-0000-000000000000}"/>
  <bookViews>
    <workbookView xWindow="28680" yWindow="-120" windowWidth="29040" windowHeight="16440" tabRatio="769" firstSheet="3" activeTab="6"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77" i="7" l="1"/>
  <c r="C14" i="8" l="1"/>
  <c r="B14" i="8"/>
  <c r="C10" i="8"/>
  <c r="B10" i="8"/>
  <c r="G192" i="7"/>
  <c r="G190" i="7"/>
  <c r="G186" i="7"/>
  <c r="G179" i="7"/>
  <c r="G170" i="7"/>
  <c r="G168" i="7"/>
  <c r="G154" i="7"/>
  <c r="G153" i="7"/>
  <c r="G51" i="7" l="1"/>
  <c r="G50" i="7"/>
  <c r="D12" i="6"/>
  <c r="D10" i="6"/>
  <c r="D11" i="6"/>
  <c r="D14" i="6"/>
  <c r="D13" i="6"/>
  <c r="G68" i="7"/>
  <c r="G59" i="7"/>
  <c r="D22" i="6"/>
  <c r="D21" i="6"/>
  <c r="D20" i="6"/>
  <c r="G125" i="7" l="1"/>
  <c r="G112" i="7"/>
  <c r="G80" i="7"/>
  <c r="E12" i="6"/>
  <c r="E11" i="6"/>
  <c r="E10" i="6"/>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G34" i="6"/>
  <c r="F35" i="6"/>
  <c r="G35" i="6"/>
  <c r="E19" i="6"/>
  <c r="F19" i="6" s="1"/>
  <c r="G21" i="7" s="1"/>
  <c r="E20" i="6"/>
  <c r="F20" i="6" s="1"/>
  <c r="G22" i="7" s="1"/>
  <c r="E21" i="6"/>
  <c r="F21" i="6"/>
  <c r="G23" i="7" s="1"/>
  <c r="E22" i="6"/>
  <c r="F22" i="6" s="1"/>
  <c r="G24" i="7" s="1"/>
  <c r="E23" i="6"/>
  <c r="F23" i="6" s="1"/>
  <c r="G25" i="7" s="1"/>
  <c r="E24" i="6"/>
  <c r="F24" i="6" s="1"/>
  <c r="G26" i="7" s="1"/>
  <c r="B34" i="5"/>
  <c r="E39" i="6" s="1"/>
  <c r="F39" i="6" s="1"/>
  <c r="B35" i="5"/>
  <c r="E40" i="6" s="1"/>
  <c r="F40" i="6" s="1"/>
  <c r="G38" i="7" s="1"/>
  <c r="B37" i="5"/>
  <c r="E41" i="6"/>
  <c r="F41" i="6" s="1"/>
  <c r="G39" i="7" s="1"/>
  <c r="B38" i="5"/>
  <c r="E42" i="6"/>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s="1"/>
  <c r="D59" i="22"/>
  <c r="D62" i="22" s="1"/>
  <c r="D60" i="22"/>
  <c r="B52" i="22"/>
  <c r="E33" i="22"/>
  <c r="E34" i="22" s="1"/>
  <c r="D33" i="22"/>
  <c r="D34" i="22" s="1"/>
  <c r="D26" i="22"/>
  <c r="D38" i="22"/>
  <c r="C38" i="22"/>
  <c r="E15" i="22"/>
  <c r="D15" i="22"/>
  <c r="B46" i="22"/>
  <c r="E26" i="22"/>
  <c r="E59" i="22"/>
  <c r="E62" i="22" s="1"/>
  <c r="E61" i="22"/>
  <c r="E38" i="22"/>
  <c r="B29" i="5"/>
  <c r="G14" i="5"/>
  <c r="H14" i="5" s="1"/>
  <c r="G258" i="7"/>
  <c r="E15" i="8"/>
  <c r="E36" i="6"/>
  <c r="D36" i="6"/>
  <c r="D43" i="6"/>
  <c r="D26" i="6"/>
  <c r="E17" i="6"/>
  <c r="G20" i="5"/>
  <c r="H20" i="5" s="1"/>
  <c r="G19" i="5"/>
  <c r="H19" i="5" s="1"/>
  <c r="G22" i="5"/>
  <c r="H22" i="5"/>
  <c r="G23" i="5"/>
  <c r="H23" i="5" s="1"/>
  <c r="E20" i="12"/>
  <c r="E29" i="12"/>
  <c r="E30" i="12"/>
  <c r="G196" i="7"/>
  <c r="D21" i="8"/>
  <c r="E68" i="3"/>
  <c r="C94" i="12"/>
  <c r="B31" i="5"/>
  <c r="H31" i="5" s="1"/>
  <c r="I31" i="5" s="1"/>
  <c r="B30" i="5"/>
  <c r="G16" i="5"/>
  <c r="H16" i="5" s="1"/>
  <c r="G15" i="5"/>
  <c r="H15" i="5" s="1"/>
  <c r="D96" i="8"/>
  <c r="C96" i="8"/>
  <c r="B69" i="6"/>
  <c r="C92" i="3"/>
  <c r="E69" i="3"/>
  <c r="E70" i="3"/>
  <c r="E71" i="3"/>
  <c r="E72" i="3"/>
  <c r="E73" i="3"/>
  <c r="B21" i="8"/>
  <c r="C21" i="8"/>
  <c r="E10" i="8"/>
  <c r="E12" i="8"/>
  <c r="E16" i="8"/>
  <c r="E17" i="8"/>
  <c r="E18" i="8"/>
  <c r="E19" i="8"/>
  <c r="E20" i="8"/>
  <c r="E36" i="4"/>
  <c r="C127" i="3" s="1"/>
  <c r="D33" i="4"/>
  <c r="B60" i="6"/>
  <c r="B70" i="6" s="1"/>
  <c r="E26" i="4"/>
  <c r="E16" i="4"/>
  <c r="G274" i="7"/>
  <c r="G278" i="7" s="1"/>
  <c r="C120" i="3" s="1"/>
  <c r="E67" i="22"/>
  <c r="E14" i="8"/>
  <c r="G240" i="7"/>
  <c r="X147" i="23"/>
  <c r="E60" i="22"/>
  <c r="F36" i="6"/>
  <c r="H35" i="6"/>
  <c r="G33" i="7" s="1"/>
  <c r="H33" i="6"/>
  <c r="G31" i="7" s="1"/>
  <c r="H34" i="5"/>
  <c r="I34" i="5" s="1"/>
  <c r="H38" i="5"/>
  <c r="I38" i="5"/>
  <c r="H30" i="5"/>
  <c r="I30" i="5" s="1"/>
  <c r="C93" i="3"/>
  <c r="H37" i="5"/>
  <c r="I37" i="5"/>
  <c r="D17" i="6"/>
  <c r="F12" i="6"/>
  <c r="E46" i="3" s="1"/>
  <c r="F11" i="6"/>
  <c r="H11" i="6" s="1"/>
  <c r="G13" i="7" s="1"/>
  <c r="F14" i="6"/>
  <c r="E48" i="3" s="1"/>
  <c r="H13" i="6"/>
  <c r="G15" i="7" s="1"/>
  <c r="F15" i="6"/>
  <c r="H15" i="6" s="1"/>
  <c r="G17" i="7" s="1"/>
  <c r="E49" i="3"/>
  <c r="F10" i="6"/>
  <c r="E44" i="3" s="1"/>
  <c r="E47" i="3"/>
  <c r="D66" i="22" l="1"/>
  <c r="C111" i="3"/>
  <c r="H34" i="6"/>
  <c r="G32" i="7" s="1"/>
  <c r="C95" i="3"/>
  <c r="C96" i="3"/>
  <c r="E45" i="3"/>
  <c r="H14" i="6"/>
  <c r="G16" i="7" s="1"/>
  <c r="H12" i="6"/>
  <c r="G14" i="7" s="1"/>
  <c r="H10" i="6"/>
  <c r="D128" i="15" s="1"/>
  <c r="C144" i="3" s="1"/>
  <c r="E70" i="22"/>
  <c r="E69" i="22"/>
  <c r="E68" i="22"/>
  <c r="G30" i="7"/>
  <c r="G35" i="7" s="1"/>
  <c r="H36" i="6"/>
  <c r="G37" i="7"/>
  <c r="G42" i="7" s="1"/>
  <c r="F43" i="6"/>
  <c r="D61" i="22"/>
  <c r="F17" i="6"/>
  <c r="E50" i="3" s="1"/>
  <c r="E21" i="8"/>
  <c r="C113" i="3"/>
  <c r="H29" i="5"/>
  <c r="I29" i="5" s="1"/>
  <c r="E74" i="3"/>
  <c r="G75" i="7"/>
  <c r="G85" i="7" s="1"/>
  <c r="D106" i="3"/>
  <c r="F121" i="15"/>
  <c r="G260" i="7"/>
  <c r="E25" i="4" s="1"/>
  <c r="E28" i="4" s="1"/>
  <c r="T119" i="23"/>
  <c r="C112" i="3"/>
  <c r="C121" i="3"/>
  <c r="G28"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E102" i="3"/>
  <c r="E106" i="3" s="1"/>
  <c r="F45" i="3" l="1"/>
  <c r="G45" i="3" s="1"/>
  <c r="D68" i="22"/>
  <c r="D70" i="22"/>
  <c r="H44" i="6"/>
  <c r="D69" i="22"/>
  <c r="F128" i="15"/>
  <c r="G12" i="7"/>
  <c r="G19" i="7" s="1"/>
  <c r="G44" i="7" s="1"/>
  <c r="G63" i="7" s="1"/>
  <c r="G144" i="7" s="1"/>
  <c r="E18" i="4" s="1"/>
  <c r="E21" i="4" s="1"/>
  <c r="E23" i="4" s="1"/>
  <c r="E44" i="4" s="1"/>
  <c r="C17" i="3" s="1"/>
  <c r="C137" i="3"/>
  <c r="D139" i="15"/>
  <c r="D141" i="15" s="1"/>
  <c r="H17" i="6"/>
  <c r="H27" i="6" s="1"/>
  <c r="H46" i="6" s="1"/>
  <c r="F123" i="15"/>
  <c r="C114" i="3"/>
  <c r="C139" i="3"/>
  <c r="F129" i="15"/>
  <c r="F139" i="15" s="1"/>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C34" i="3" l="1"/>
  <c r="D32" i="4"/>
  <c r="E35" i="4" s="1"/>
  <c r="E38" i="4" s="1"/>
  <c r="C153" i="3"/>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<sst xmlns="http://schemas.openxmlformats.org/spreadsheetml/2006/main" count="1334" uniqueCount="810">
  <si>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</si>
  <si>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</si>
  <si>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</si>
  <si>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</si>
  <si>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</si>
  <si>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</si>
  <si>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</si>
  <si>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</si>
  <si>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</si>
  <si>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</si>
  <si>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</si>
  <si>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</si>
  <si>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</si>
  <si>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</si>
  <si>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</si>
  <si>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</si>
  <si>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</si>
  <si>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</si>
  <si>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</si>
  <si>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</si>
  <si>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</si>
  <si>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</si>
  <si>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</si>
  <si>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</si>
  <si>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</si>
  <si>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</si>
  <si>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</si>
  <si>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</si>
  <si>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</si>
  <si>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</si>
  <si>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</si>
  <si>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</si>
  <si>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</si>
  <si>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</si>
  <si>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</si>
  <si>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</si>
  <si>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</si>
  <si>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</si>
  <si>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</si>
  <si>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</si>
  <si>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</si>
  <si>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</si>
  <si>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</si>
  <si>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</si>
  <si>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</si>
  <si>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</si>
  <si>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</si>
  <si>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</si>
  <si>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</si>
  <si>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</si>
  <si>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</si>
  <si>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</si>
  <si>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</si>
  <si>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</si>
  <si>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</si>
  <si>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</si>
  <si>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</si>
  <si>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</si>
  <si>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</si>
  <si>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</si>
  <si>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</si>
  <si>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</si>
  <si>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</si>
  <si>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</si>
  <si>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</si>
  <si>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</si>
  <si>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</si>
  <si>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</si>
  <si>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</si>
  <si>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</si>
  <si>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</si>
  <si>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</si>
  <si>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</si>
  <si>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</si>
  <si>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</si>
  <si>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</si>
  <si>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</si>
  <si>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</si>
  <si>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</si>
  <si>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</si>
  <si>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</si>
  <si>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</si>
  <si>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</si>
  <si>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</si>
  <si>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</si>
  <si>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</si>
  <si>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</si>
  <si>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</si>
  <si>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</si>
  <si>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</si>
  <si>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</si>
  <si>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</si>
  <si>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</si>
  <si>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</si>
  <si>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</si>
  <si>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</si>
  <si>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</si>
  <si>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</si>
  <si>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</si>
  <si>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</si>
  <si>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</si>
  <si>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</si>
  <si>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</si>
  <si>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</si>
  <si>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</si>
  <si>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</si>
  <si>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</si>
  <si>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</si>
  <si>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</si>
  <si>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</si>
  <si>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</si>
  <si>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</si>
  <si>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</si>
  <si>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</si>
  <si>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</si>
  <si>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</si>
  <si>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</si>
  <si>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</si>
  <si>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</si>
  <si>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</si>
  <si>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</si>
  <si>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</si>
  <si>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</si>
  <si>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</si>
  <si>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</si>
  <si>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</si>
  <si>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</si>
  <si>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</si>
  <si>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</si>
  <si>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</si>
  <si>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</si>
  <si>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</si>
  <si>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</si>
  <si>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</si>
  <si>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</si>
  <si>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</si>
  <si>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</si>
  <si>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</si>
  <si>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</si>
  <si>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</si>
  <si>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</si>
  <si>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</si>
  <si>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</si>
  <si>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</si>
  <si>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</si>
  <si>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</si>
  <si>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</si>
  <si>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</si>
  <si>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</si>
  <si>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</si>
  <si>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</si>
  <si>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</si>
  <si>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</si>
  <si>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</si>
  <si>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</si>
  <si>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</si>
  <si>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</si>
  <si>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</si>
  <si>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</si>
  <si>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</si>
  <si>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</si>
  <si>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</si>
  <si>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</si>
  <si>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</si>
  <si>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</si>
  <si>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</si>
  <si>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</si>
  <si>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</si>
  <si>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</si>
  <si>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</si>
  <si>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</si>
  <si>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</si>
  <si>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</si>
  <si>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</si>
  <si>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</si>
  <si>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</si>
  <si>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</si>
  <si>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</si>
  <si>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</si>
  <si>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</si>
  <si>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</si>
  <si>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</si>
  <si>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</si>
  <si>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</si>
  <si>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</si>
  <si>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</si>
  <si>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</si>
  <si>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</si>
  <si>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</si>
  <si>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</si>
  <si>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</si>
  <si>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</si>
  <si>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</si>
  <si>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</si>
  <si>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</si>
  <si>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</si>
  <si>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</si>
  <si>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</si>
  <si>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</si>
  <si>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</si>
  <si>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</si>
  <si>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</si>
  <si>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</si>
  <si>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</si>
  <si>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</si>
  <si>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</si>
  <si>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</si>
  <si>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</si>
  <si>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</si>
  <si>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</si>
  <si>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</si>
  <si>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</si>
  <si>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</si>
  <si>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</si>
  <si>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</si>
  <si>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</si>
  <si>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</si>
  <si>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</si>
  <si>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</si>
  <si>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</si>
  <si>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</si>
  <si>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</si>
  <si>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</si>
  <si>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</si>
  <si>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</si>
  <si>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</si>
  <si>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</si>
  <si>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</si>
  <si>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</si>
  <si>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</si>
  <si>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</si>
  <si>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</si>
  <si>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</si>
  <si>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</si>
  <si>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</si>
  <si>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</si>
  <si>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</si>
  <si>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</si>
  <si>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</si>
  <si>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</si>
  <si>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</si>
  <si>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</si>
  <si>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</si>
  <si>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</si>
  <si>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</si>
  <si>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</si>
  <si>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</si>
  <si>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</si>
  <si>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</si>
  <si>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</si>
  <si>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</si>
  <si>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</si>
  <si>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</si>
  <si>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</si>
  <si>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</si>
  <si>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</si>
  <si>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</si>
  <si>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</si>
  <si>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</si>
  <si>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</si>
  <si>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</si>
  <si>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</si>
  <si>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</si>
  <si>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</si>
  <si>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</si>
  <si>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</si>
  <si>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</si>
  <si>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</si>
  <si>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</si>
  <si>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</si>
  <si>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</si>
  <si>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</si>
  <si>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</si>
  <si>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</si>
  <si>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</si>
  <si>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</si>
  <si>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</si>
  <si>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</si>
  <si>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</si>
  <si>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</si>
  <si>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</si>
  <si>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</si>
  <si>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</si>
  <si>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</si>
  <si>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</si>
  <si>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</si>
  <si>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</si>
  <si>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</si>
  <si>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</si>
  <si>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</si>
  <si>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</si>
  <si>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</si>
  <si>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</si>
  <si>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</si>
  <si>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</si>
  <si>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</si>
  <si>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</si>
  <si>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</si>
  <si>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</si>
  <si>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</si>
  <si>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</si>
  <si>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</si>
  <si>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</si>
  <si>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</si>
  <si>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</si>
  <si>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</si>
  <si>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</si>
  <si>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</si>
  <si>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</si>
  <si>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</si>
  <si>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</si>
  <si>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</si>
  <si>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</si>
  <si>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</si>
  <si>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</si>
  <si>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</si>
  <si>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</si>
  <si>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</si>
  <si>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</si>
  <si>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</si>
  <si>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</si>
  <si>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</si>
  <si>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</si>
  <si>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</si>
  <si>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</si>
  <si>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</si>
  <si>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</si>
  <si>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</si>
  <si>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</si>
  <si>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</si>
  <si>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</si>
  <si>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</si>
  <si>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</si>
  <si>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</si>
  <si>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</si>
  <si>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</si>
  <si>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</si>
  <si>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</si>
  <si>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</si>
  <si>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</si>
  <si>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</si>
  <si>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</si>
  <si>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</si>
  <si>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</si>
  <si>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</si>
  <si>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</si>
  <si>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</si>
  <si>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</si>
  <si>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</si>
  <si>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</si>
  <si>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</si>
  <si>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</si>
  <si>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</si>
  <si>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</si>
  <si>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</si>
  <si>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</si>
  <si>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</si>
  <si>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</si>
  <si>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</si>
  <si>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</si>
  <si>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</si>
  <si>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</si>
  <si>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</si>
  <si>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</si>
  <si>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</si>
  <si>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</si>
  <si>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</si>
  <si>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</si>
  <si>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</si>
  <si>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</si>
  <si>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</si>
  <si>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</si>
  <si>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</si>
  <si>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</si>
  <si>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</si>
  <si>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</si>
  <si>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</si>
  <si>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</si>
  <si>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</si>
  <si>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</si>
  <si>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</si>
  <si>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</si>
  <si>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</si>
  <si>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</si>
  <si>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</si>
  <si>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</si>
  <si>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</si>
  <si>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</si>
  <si>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</si>
  <si>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</si>
  <si>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</si>
  <si>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</si>
  <si>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</si>
  <si>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</si>
  <si>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</si>
  <si>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</si>
  <si>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</si>
  <si>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</si>
  <si>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</si>
  <si>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</si>
  <si>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</si>
  <si>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</si>
  <si>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</si>
  <si>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</si>
  <si>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</si>
  <si>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</si>
  <si>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</si>
  <si>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</si>
  <si>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</si>
  <si>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</si>
  <si>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</si>
  <si>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</si>
  <si>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</si>
  <si>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</si>
  <si>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</si>
  <si>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</si>
  <si>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</si>
  <si>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</si>
  <si>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</si>
  <si>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</si>
  <si>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</si>
  <si>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</si>
  <si>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</si>
  <si>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</si>
  <si>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</si>
  <si>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</si>
  <si>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</si>
  <si>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</si>
  <si>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</si>
  <si>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</si>
  <si>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</si>
  <si>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</si>
  <si>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</si>
  <si>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</si>
  <si>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</si>
  <si>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</si>
  <si>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</si>
  <si>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</si>
  <si>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</si>
  <si>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</si>
  <si>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</si>
  <si>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</si>
  <si>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</si>
  <si>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</si>
  <si>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</si>
  <si>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</si>
  <si>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</si>
  <si>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</si>
  <si>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</si>
  <si>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</si>
  <si>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</si>
  <si>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</si>
  <si>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</si>
  <si>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</si>
  <si>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</si>
  <si>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</si>
  <si>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</si>
  <si>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</si>
  <si>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</si>
  <si>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</si>
  <si>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</si>
  <si>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</si>
  <si>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</si>
  <si>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</si>
  <si>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</si>
  <si>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</si>
  <si>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</si>
  <si>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</si>
  <si>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</si>
  <si>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</si>
  <si>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</si>
  <si>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</si>
  <si>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</si>
  <si>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</si>
  <si>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</si>
  <si>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</si>
  <si>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</si>
  <si>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</si>
  <si>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</si>
  <si>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</si>
  <si>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</si>
  <si>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</si>
  <si>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</si>
  <si>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</si>
  <si>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</si>
  <si>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</si>
  <si>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</si>
  <si>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</si>
  <si>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</si>
  <si>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</si>
  <si>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</si>
  <si>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</si>
  <si>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</si>
  <si>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</si>
  <si>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</si>
  <si>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</si>
  <si>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</si>
  <si>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</si>
  <si>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</si>
  <si>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</si>
  <si>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</si>
  <si>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</si>
  <si>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</si>
  <si>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</si>
  <si>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</si>
  <si>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</si>
  <si>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</si>
  <si>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</si>
  <si>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</si>
  <si>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</si>
  <si>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</si>
  <si>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</si>
  <si>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</si>
  <si>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</si>
  <si>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</si>
  <si>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</si>
  <si>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</si>
  <si>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</si>
  <si>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</si>
  <si>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</si>
  <si>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</si>
  <si>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</si>
  <si>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</si>
  <si>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</si>
  <si>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</si>
  <si>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</si>
  <si>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</si>
  <si>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</si>
  <si>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</si>
  <si>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</si>
  <si>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</si>
  <si>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</si>
  <si>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</si>
  <si>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</si>
  <si>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</si>
  <si>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</si>
  <si>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</si>
  <si>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</si>
  <si>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</si>
  <si>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</si>
  <si>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</si>
  <si>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</si>
  <si>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</si>
  <si>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</si>
  <si>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</si>
  <si>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</si>
  <si>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</si>
  <si>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</si>
  <si>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</si>
  <si>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</si>
  <si>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</si>
  <si>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</si>
  <si>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</si>
  <si>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</si>
  <si>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</si>
  <si>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</si>
  <si>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</si>
  <si>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</si>
  <si>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</si>
  <si>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</si>
  <si>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</si>
  <si>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</si>
  <si>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</si>
  <si>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</si>
  <si>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</si>
  <si>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</si>
  <si>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</si>
  <si>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</si>
  <si>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</si>
  <si>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</si>
  <si>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</si>
  <si>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</si>
  <si>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</si>
  <si>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</si>
  <si>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</si>
  <si>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</si>
  <si>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</si>
  <si>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</si>
  <si>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</si>
  <si>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</si>
  <si>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</si>
  <si>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</si>
  <si>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</si>
  <si>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</si>
  <si>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</si>
  <si>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</si>
  <si>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</si>
  <si>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</si>
  <si>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</si>
  <si>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</si>
  <si>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</si>
  <si>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</si>
  <si>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</si>
  <si>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</si>
  <si>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</si>
  <si>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</si>
  <si>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</si>
  <si>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</si>
  <si>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</si>
  <si>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</si>
  <si>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</si>
  <si>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</si>
  <si>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</si>
  <si>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</si>
  <si>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</si>
  <si>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</si>
  <si>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</si>
  <si>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</si>
  <si>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</si>
  <si>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</si>
  <si>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</si>
  <si>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</si>
  <si>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</si>
  <si>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</si>
  <si>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</si>
  <si>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</si>
  <si>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</si>
  <si>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</si>
  <si>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</si>
  <si>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</si>
  <si>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</si>
  <si>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</si>
  <si>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</si>
  <si>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</si>
  <si>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</si>
  <si>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</si>
  <si>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</si>
  <si>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</si>
  <si>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</si>
  <si>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</si>
  <si>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</si>
  <si>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</si>
  <si>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</si>
  <si>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</si>
  <si>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</si>
  <si>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</si>
  <si>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</si>
  <si>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</si>
  <si>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</si>
  <si>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</si>
  <si>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</si>
  <si>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</si>
  <si>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</si>
  <si>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</si>
  <si>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</si>
  <si>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</si>
  <si>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</si>
  <si>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</si>
  <si>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</si>
  <si>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</si>
  <si>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</si>
  <si>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</si>
  <si>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</si>
  <si>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</si>
  <si>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</si>
  <si>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</si>
  <si>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</si>
  <si>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</si>
  <si>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</si>
  <si>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</si>
  <si>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</si>
  <si>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</si>
  <si>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</si>
  <si>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</si>
  <si>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</si>
  <si>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</si>
  <si>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</si>
  <si>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</si>
  <si>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</si>
  <si>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</si>
  <si>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</si>
  <si>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</si>
  <si>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</si>
  <si>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</si>
  <si>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</si>
  <si>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</si>
  <si>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</si>
  <si>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</si>
  <si>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</si>
  <si>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</si>
  <si>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</si>
  <si>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</si>
  <si>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</si>
  <si>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</si>
  <si>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</si>
  <si>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</si>
  <si>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</si>
  <si>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</si>
  <si>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</si>
  <si>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</si>
  <si>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</si>
  <si>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</si>
  <si>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</si>
  <si>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</si>
  <si>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</si>
  <si>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</si>
  <si>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</si>
  <si>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</si>
  <si>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</si>
  <si>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</si>
  <si>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</si>
  <si>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</si>
  <si>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</si>
  <si>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</si>
  <si>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</si>
  <si>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</si>
  <si>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</si>
  <si>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</si>
  <si>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</si>
  <si>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</si>
  <si>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</si>
  <si>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</si>
  <si>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</si>
  <si>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</si>
  <si>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</si>
  <si>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</si>
  <si>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</si>
  <si>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</si>
  <si>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</si>
  <si>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</si>
  <si>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</si>
  <si>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</si>
  <si>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</si>
  <si>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</si>
  <si>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</si>
  <si>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</si>
  <si>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</si>
  <si>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</si>
  <si>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</si>
  <si>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</si>
  <si>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</si>
  <si>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</si>
  <si>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</si>
  <si>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</si>
  <si>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</si>
  <si>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</si>
  <si>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</si>
  <si>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</si>
  <si>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</si>
  <si>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</si>
  <si>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</si>
  <si>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</si>
  <si>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</si>
  <si>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</si>
  <si>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</si>
  <si>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</si>
  <si>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</si>
  <si>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</si>
  <si>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</si>
  <si>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</si>
  <si>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</si>
  <si>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</si>
  <si>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</si>
  <si>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</si>
  <si>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</si>
  <si>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</si>
  <si>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</si>
  <si>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</si>
  <si>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</si>
  <si>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</si>
  <si>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</si>
  <si>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</si>
  <si>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</si>
  <si>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</si>
  <si>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</si>
  <si>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</si>
  <si>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</si>
  <si>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</si>
  <si>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</si>
  <si>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</si>
  <si>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</si>
  <si>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</si>
  <si>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</si>
  <si>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</si>
  <si>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</si>
  <si>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</si>
  <si>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</si>
  <si>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</si>
  <si>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</si>
  <si>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</si>
  <si>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</si>
  <si>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</si>
  <si>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</si>
  <si>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</si>
  <si>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</si>
  <si>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</si>
  <si>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</si>
  <si>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</si>
  <si>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</si>
  <si>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</si>
  <si>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</si>
  <si>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</si>
  <si>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</si>
  <si>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</si>
  <si>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</si>
  <si>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</si>
  <si>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</si>
  <si>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</si>
  <si>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</si>
  <si>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</si>
  <si>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</si>
  <si>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</si>
  <si>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</si>
  <si>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</si>
  <si>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</si>
  <si>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</si>
  <si>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</si>
  <si>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Capital Lease</t>
  </si>
  <si>
    <t>Fund 2 grant match</t>
  </si>
  <si>
    <t>The College will be back operating in post pandemic recovery which will result in full capacity in the  classrooms.  The College is starting a new CC/ATD program in Cosmetology Facials and will continue to grow the Culinary Arts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</si>
</sst>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xdr:col>
          <xdr:colOff>209550</xdr:colOff>
          <xdr:row>52</xdr:row>
          <xdr:rowOff>38100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728</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762</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794</v>
      </c>
      <c r="C3" s="77"/>
      <c r="D3" s="86"/>
      <c r="E3" s="85"/>
      <c r="F3" s="25"/>
    </row>
    <row r="4" spans="1:10" ht="25.35" customHeight="1" thickBot="1">
      <c r="A4" s="75">
        <v>1</v>
      </c>
      <c r="B4" s="64">
        <v>2</v>
      </c>
      <c r="C4" s="64">
        <v>3</v>
      </c>
      <c r="D4" s="64">
        <v>4</v>
      </c>
      <c r="E4" s="68"/>
      <c r="F4" s="25"/>
    </row>
    <row r="5" spans="1:10" ht="44.1" customHeight="1" thickBot="1">
      <c r="A5" s="1273" t="s">
        <v>16</v>
      </c>
      <c r="B5" s="1322" t="s">
        <v>775</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795</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758</v>
      </c>
      <c r="B40" s="1162" t="s">
        <v>793</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777</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776</v>
      </c>
      <c r="C46" s="781"/>
      <c r="D46" s="781">
        <v>315500</v>
      </c>
      <c r="E46" s="782">
        <f t="shared" si="1"/>
        <v>315500</v>
      </c>
      <c r="H46" s="24"/>
    </row>
    <row r="47" spans="1:21" ht="84.75" customHeight="1">
      <c r="A47" s="1170" t="s">
        <v>25</v>
      </c>
      <c r="B47" s="1252" t="s">
        <v>779</v>
      </c>
      <c r="C47" s="1253"/>
      <c r="D47" s="1253">
        <v>447123</v>
      </c>
      <c r="E47" s="782">
        <f t="shared" si="1"/>
        <v>447123</v>
      </c>
      <c r="H47" s="24"/>
    </row>
    <row r="48" spans="1:21" ht="84.75" customHeight="1">
      <c r="A48" s="1170" t="s">
        <v>21</v>
      </c>
      <c r="B48" s="1252" t="s">
        <v>778</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781</v>
      </c>
      <c r="C50" s="1253"/>
      <c r="D50" s="1253">
        <v>1000000</v>
      </c>
      <c r="E50" s="782">
        <f t="shared" si="1"/>
        <v>1000000</v>
      </c>
      <c r="H50" s="24"/>
    </row>
    <row r="51" spans="1:8" ht="62.45" customHeight="1">
      <c r="A51" s="1170" t="s">
        <v>35</v>
      </c>
      <c r="B51" s="1252" t="s">
        <v>780</v>
      </c>
      <c r="C51" s="1253"/>
      <c r="D51" s="1253">
        <v>600050</v>
      </c>
      <c r="E51" s="782">
        <f t="shared" si="1"/>
        <v>600050</v>
      </c>
      <c r="H51" s="24"/>
    </row>
    <row r="52" spans="1:8" ht="62.45" customHeight="1">
      <c r="A52" s="1170" t="s">
        <v>36</v>
      </c>
      <c r="B52" s="1252" t="s">
        <v>782</v>
      </c>
      <c r="C52" s="1253"/>
      <c r="D52" s="1253">
        <v>400000</v>
      </c>
      <c r="E52" s="782">
        <f t="shared" si="1"/>
        <v>400000</v>
      </c>
      <c r="H52" s="24"/>
    </row>
    <row r="53" spans="1:8" ht="62.45" customHeight="1">
      <c r="A53" s="1170" t="s">
        <v>37</v>
      </c>
      <c r="B53" s="1252" t="s">
        <v>783</v>
      </c>
      <c r="C53" s="1253"/>
      <c r="D53" s="1253">
        <v>500000</v>
      </c>
      <c r="E53" s="782">
        <f t="shared" si="1"/>
        <v>500000</v>
      </c>
      <c r="H53" s="24"/>
    </row>
    <row r="54" spans="1:8" ht="62.45" customHeight="1">
      <c r="A54" s="1170" t="s">
        <v>39</v>
      </c>
      <c r="B54" s="1252" t="s">
        <v>784</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785</v>
      </c>
      <c r="B56" s="1252" t="s">
        <v>786</v>
      </c>
      <c r="C56" s="1253"/>
      <c r="D56" s="1253">
        <v>765645</v>
      </c>
      <c r="E56" s="782">
        <f t="shared" si="1"/>
        <v>765645</v>
      </c>
      <c r="H56" s="24"/>
    </row>
    <row r="57" spans="1:8" ht="42">
      <c r="A57" s="1329" t="s">
        <v>787</v>
      </c>
      <c r="B57" s="1252" t="s">
        <v>788</v>
      </c>
      <c r="C57" s="1253"/>
      <c r="D57" s="1253">
        <v>5000000</v>
      </c>
      <c r="E57" s="782">
        <f t="shared" si="1"/>
        <v>5000000</v>
      </c>
      <c r="H57" s="24"/>
    </row>
    <row r="58" spans="1:8" ht="42">
      <c r="A58" s="1328" t="s">
        <v>726</v>
      </c>
      <c r="B58" s="1252" t="s">
        <v>789</v>
      </c>
      <c r="C58" s="1253"/>
      <c r="D58" s="1253">
        <v>756722</v>
      </c>
      <c r="E58" s="782">
        <f t="shared" si="1"/>
        <v>756722</v>
      </c>
      <c r="H58" s="24"/>
    </row>
    <row r="59" spans="1:8" ht="63">
      <c r="A59" s="1173" t="s">
        <v>43</v>
      </c>
      <c r="B59" s="783" t="s">
        <v>790</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791</v>
      </c>
      <c r="C61" s="1253"/>
      <c r="D61" s="1253">
        <v>50000</v>
      </c>
      <c r="E61" s="782">
        <f t="shared" si="1"/>
        <v>50000</v>
      </c>
      <c r="H61" s="24"/>
    </row>
    <row r="62" spans="1:8" ht="86.25" customHeight="1" thickBot="1">
      <c r="A62" s="1328" t="s">
        <v>49</v>
      </c>
      <c r="B62" s="730" t="s">
        <v>792</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737</v>
      </c>
      <c r="B67" s="505" t="str">
        <f>B3</f>
        <v>Date Updated:   05.03.22    BY:  EN</v>
      </c>
      <c r="C67" s="53" t="s">
        <v>10</v>
      </c>
      <c r="D67" s="53"/>
      <c r="F67" s="24"/>
      <c r="G67" s="24"/>
      <c r="H67" s="24"/>
    </row>
    <row r="68" spans="1:13" ht="45" customHeight="1" thickBot="1">
      <c r="A68" s="1277" t="s">
        <v>727</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759</v>
      </c>
      <c r="B75" s="1281" t="s">
        <v>766</v>
      </c>
      <c r="C75" s="1282"/>
      <c r="D75" s="1282"/>
      <c r="E75" s="1283"/>
      <c r="F75" s="21"/>
      <c r="G75" s="53"/>
      <c r="H75" s="24"/>
    </row>
    <row r="76" spans="1:13" ht="87.6" customHeight="1" thickBot="1">
      <c r="A76" s="50" t="s">
        <v>17</v>
      </c>
      <c r="B76" s="30" t="s">
        <v>796</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767</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760</v>
      </c>
      <c r="B114" s="1257" t="s">
        <v>773</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768</v>
      </c>
      <c r="U116" s="41"/>
      <c r="V116" s="42"/>
      <c r="W116" s="43"/>
      <c r="X116" s="44"/>
      <c r="Y116" s="72"/>
      <c r="Z116" s="1290"/>
      <c r="AA116" s="1291"/>
      <c r="AB116" s="1292"/>
      <c r="AC116" s="22"/>
      <c r="AD116" s="729" t="s">
        <v>769</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770</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771</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772</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730</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774</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153" sqref="C153"/>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736</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21</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806</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6.618965399744739E-2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737</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30300</v>
      </c>
      <c r="E44" s="138">
        <f>+'EXHIBIT C'!F10</f>
        <v>31150.014999999999</v>
      </c>
      <c r="F44" s="139">
        <f t="shared" ref="F44:F50" si="0">IF(D44=0,"0",(E44/D44-1))</f>
        <v>2.8053300330032949E-2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123483.88634809693</v>
      </c>
      <c r="E45" s="142">
        <f>+'EXHIBIT C'!F11</f>
        <v>127001.875</v>
      </c>
      <c r="F45" s="810">
        <f t="shared" si="0"/>
        <v>2.8489455231316407E-2</v>
      </c>
      <c r="G45" s="811"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45130.855911661733</v>
      </c>
      <c r="E46" s="814">
        <f>+'EXHIBIT C'!F12</f>
        <v>46467.366000000002</v>
      </c>
      <c r="F46" s="810">
        <f t="shared" si="0"/>
        <v>2.9614109046687043E-2</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8360.3677510608213</v>
      </c>
      <c r="E47" s="814">
        <f>+'EXHIBIT C'!F13</f>
        <v>10523</v>
      </c>
      <c r="F47" s="810">
        <f t="shared" si="0"/>
        <v>0.2586766890325809</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4857.2693266832921</v>
      </c>
      <c r="E48" s="814">
        <f>+'EXHIBIT C'!F14</f>
        <v>4932</v>
      </c>
      <c r="F48" s="810">
        <f t="shared" si="0"/>
        <v>1.5385326258557708E-2</v>
      </c>
      <c r="G48" s="811"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0</v>
      </c>
      <c r="E49" s="817">
        <f>+'EXHIBIT C'!F15</f>
        <v>0</v>
      </c>
      <c r="F49" s="818" t="str">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212132.37933750276</v>
      </c>
      <c r="E50" s="145">
        <f>+'EXHIBIT C'!F17</f>
        <v>220074.25600000002</v>
      </c>
      <c r="F50" s="146">
        <f t="shared" si="0"/>
        <v>3.7438304738296235E-2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t="s">
        <v>809</v>
      </c>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197</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4107.3685330091921</v>
      </c>
      <c r="E69" s="159">
        <f>+'EXHIBIT C'!D20</f>
        <v>4301.25</v>
      </c>
      <c r="F69" s="821">
        <f t="shared" si="2"/>
        <v>4.7203328708554926E-2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1019.0482089954214</v>
      </c>
      <c r="E70" s="824">
        <f>+'EXHIBIT C'!D21</f>
        <v>986.25</v>
      </c>
      <c r="F70" s="821">
        <f t="shared" si="2"/>
        <v>-3.2185139727348044E-2</v>
      </c>
      <c r="G70" s="822"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395.5586987270155</v>
      </c>
      <c r="E71" s="824">
        <f>+'EXHIBIT C'!D22</f>
        <v>382</v>
      </c>
      <c r="F71" s="821">
        <f t="shared" si="2"/>
        <v>-3.4277336766072919E-2</v>
      </c>
      <c r="G71" s="822"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482.73067331670813</v>
      </c>
      <c r="E72" s="824">
        <f>+'EXHIBIT C'!D23</f>
        <v>479</v>
      </c>
      <c r="F72" s="821">
        <f t="shared" si="2"/>
        <v>-7.7282706961123715E-3</v>
      </c>
      <c r="G72" s="822"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6004.7061140483365</v>
      </c>
      <c r="E74" s="161">
        <f>SUM(E68:E73)</f>
        <v>6345.5</v>
      </c>
      <c r="F74" s="162">
        <f t="shared" si="2"/>
        <v>5.6754465494049278E-2</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20"/>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20"/>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39410676.032799996</v>
      </c>
      <c r="E102" s="833">
        <f>+'EXHIBIT D'!G75</f>
        <v>39410676.032799996</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748200</v>
      </c>
      <c r="E103" s="833">
        <f>'EXHIBIT D'!G77</f>
        <v>748200</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9012111</v>
      </c>
      <c r="E104" s="833">
        <f>'EXHIBIT D'!G81</f>
        <v>9012111</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797</v>
      </c>
      <c r="D105" s="173">
        <f>E105</f>
        <v>1732067</v>
      </c>
      <c r="E105" s="174">
        <f>'EXHIBIT D'!G76</f>
        <v>1732067</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50903054.032799996</v>
      </c>
      <c r="E106" s="176">
        <f>SUM(E102:E105)</f>
        <v>50903054.032799996</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738</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5849370</v>
      </c>
      <c r="D119" s="988" t="s">
        <v>739</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5849370</v>
      </c>
      <c r="D120" s="991" t="s">
        <v>740</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801</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40987905</v>
      </c>
      <c r="D126" s="37" t="s">
        <v>761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40987904.979999997</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2.0000003278255463E-2</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2.0000003278255463E-2</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91.790003953449144</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292.62944162436548</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802</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803</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805</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election activeCell="L12" sqref="L12"/>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735</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Eastern Florida State College</v>
      </c>
      <c r="D8" s="1039"/>
      <c r="E8" s="1039"/>
      <c r="F8" s="431"/>
      <c r="G8" s="431"/>
    </row>
    <row r="9" spans="2:7" ht="25.35" customHeight="1">
      <c r="D9" s="149"/>
      <c r="E9" s="149"/>
      <c r="F9" s="149"/>
      <c r="G9" s="149"/>
    </row>
    <row r="10" spans="2:7" ht="41.45" customHeight="1">
      <c r="E10" s="718" t="s">
        <v>184</v>
      </c>
    </row>
    <row r="11" spans="2:7" ht="25.35" customHeight="1">
      <c r="B11" s="112" t="s">
        <v>742</v>
      </c>
      <c r="D11" s="112"/>
      <c r="E11" s="199"/>
    </row>
    <row r="12" spans="2:7" ht="25.35" customHeight="1">
      <c r="B12" s="112"/>
      <c r="C12" s="112"/>
      <c r="D12" s="112"/>
    </row>
    <row r="13" spans="2:7" ht="25.35" customHeight="1">
      <c r="B13" s="37" t="s">
        <v>750</v>
      </c>
      <c r="C13" s="112"/>
      <c r="D13" s="112"/>
      <c r="E13" s="581">
        <v>-35138535</v>
      </c>
    </row>
    <row r="14" spans="2:7" ht="25.35" customHeight="1">
      <c r="B14" s="37" t="s">
        <v>185</v>
      </c>
      <c r="D14" s="112"/>
      <c r="E14" s="719">
        <v>40987905</v>
      </c>
    </row>
    <row r="15" spans="2:7" ht="25.35" customHeight="1">
      <c r="B15" s="112"/>
      <c r="C15" s="24"/>
      <c r="D15" s="112"/>
      <c r="E15" s="200"/>
    </row>
    <row r="16" spans="2:7" ht="25.35" customHeight="1">
      <c r="B16" s="24" t="s">
        <v>743</v>
      </c>
      <c r="C16" s="112"/>
      <c r="D16" s="35"/>
      <c r="E16" s="720">
        <f>+E14+E13</f>
        <v>5849370</v>
      </c>
    </row>
    <row r="17" spans="2:7" ht="25.35" customHeight="1">
      <c r="B17" s="112"/>
      <c r="C17" s="35"/>
      <c r="D17" s="112"/>
      <c r="E17" s="201"/>
    </row>
    <row r="18" spans="2:7" ht="25.35" customHeight="1">
      <c r="B18" s="37" t="s">
        <v>186</v>
      </c>
      <c r="C18" s="112"/>
      <c r="D18" s="112"/>
      <c r="E18" s="213">
        <f>+'EXHIBIT D'!G144-SUM(+'EXHIBIT D'!G132+'EXHIBIT D'!G133+'EXHIBIT D'!G134+'EXHIBIT D'!G135)</f>
        <v>82523504.712799996</v>
      </c>
      <c r="G18" s="202"/>
    </row>
    <row r="19" spans="2:7" ht="25.35" customHeight="1">
      <c r="B19" s="37" t="s">
        <v>187</v>
      </c>
      <c r="D19" s="112"/>
      <c r="E19" s="720">
        <f>+'EXHIBIT D'!G132+'EXHIBIT D'!G133+'EXHIBIT D'!G134+'EXHIBIT D'!G135</f>
        <v>0</v>
      </c>
    </row>
    <row r="20" spans="2:7" ht="25.35" customHeight="1">
      <c r="B20" s="112"/>
      <c r="D20" s="112"/>
      <c r="E20" s="208"/>
    </row>
    <row r="21" spans="2:7" ht="25.35" customHeight="1">
      <c r="B21" s="37" t="s">
        <v>188</v>
      </c>
      <c r="C21" s="112"/>
      <c r="D21" s="112"/>
      <c r="E21" s="721">
        <f>+E19+E18</f>
        <v>82523504.712799996</v>
      </c>
    </row>
    <row r="22" spans="2:7" ht="25.35" customHeight="1">
      <c r="B22" s="112"/>
      <c r="C22" s="112"/>
      <c r="D22" s="112"/>
      <c r="E22" s="208"/>
    </row>
    <row r="23" spans="2:7" ht="25.35" customHeight="1">
      <c r="B23" s="112" t="s">
        <v>189</v>
      </c>
      <c r="C23" s="112"/>
      <c r="D23" s="112"/>
      <c r="E23" s="721">
        <f>+E21+E16</f>
        <v>88372874.712799996</v>
      </c>
    </row>
    <row r="24" spans="2:7" ht="25.35" customHeight="1">
      <c r="B24" s="112"/>
      <c r="C24" s="112"/>
      <c r="D24" s="112"/>
      <c r="E24" s="208"/>
    </row>
    <row r="25" spans="2:7" ht="25.35" customHeight="1">
      <c r="B25" s="37" t="s">
        <v>190</v>
      </c>
      <c r="C25" s="112"/>
      <c r="D25" s="112"/>
      <c r="E25" s="214">
        <f>'EXHIBIT D'!G260-SUM(+'EXHIBIT D'!G231+'EXHIBIT D'!G232+'EXHIBIT D'!G233+'EXHIBIT D'!G234+'EXHIBIT D'!G235)</f>
        <v>81242496.039999992</v>
      </c>
    </row>
    <row r="26" spans="2:7" ht="25.35" customHeight="1">
      <c r="B26" s="37" t="s">
        <v>191</v>
      </c>
      <c r="D26" s="112"/>
      <c r="E26" s="720">
        <f>'EXHIBIT D'!G231+'EXHIBIT D'!G232+'EXHIBIT D'!G233+'EXHIBIT D'!G234+'EXHIBIT D'!G235</f>
        <v>1387323</v>
      </c>
    </row>
    <row r="27" spans="2:7" ht="25.35" customHeight="1">
      <c r="B27" s="112"/>
      <c r="D27" s="112"/>
      <c r="E27" s="208"/>
    </row>
    <row r="28" spans="2:7" ht="25.35" customHeight="1">
      <c r="B28" s="112" t="s">
        <v>192</v>
      </c>
      <c r="C28" s="112"/>
      <c r="D28" s="112"/>
      <c r="E28" s="722">
        <f>+E26+E25</f>
        <v>82629819.039999992</v>
      </c>
    </row>
    <row r="29" spans="2:7" ht="25.35" customHeight="1">
      <c r="B29" s="112"/>
      <c r="C29" s="112"/>
      <c r="D29" s="112"/>
      <c r="E29" s="203"/>
    </row>
    <row r="30" spans="2:7" ht="25.35" customHeight="1">
      <c r="B30" s="112" t="s">
        <v>744</v>
      </c>
      <c r="C30" s="112"/>
      <c r="D30" s="112"/>
      <c r="E30" s="203"/>
    </row>
    <row r="31" spans="2:7" ht="25.35" customHeight="1">
      <c r="B31" s="112"/>
      <c r="C31" s="112"/>
      <c r="D31" s="112"/>
      <c r="E31" s="203"/>
    </row>
    <row r="32" spans="2:7" ht="25.35" customHeight="1">
      <c r="B32" s="37" t="s">
        <v>193</v>
      </c>
      <c r="C32" s="112"/>
      <c r="D32" s="204">
        <f>+E23-E28</f>
        <v>5743055.6728000045</v>
      </c>
      <c r="E32" s="203"/>
    </row>
    <row r="33" spans="2:10" ht="25.35" customHeight="1">
      <c r="B33" s="24" t="s">
        <v>194</v>
      </c>
      <c r="C33" s="112"/>
      <c r="D33" s="723">
        <f>+'EXHIBIT D'!G188</f>
        <v>0</v>
      </c>
      <c r="E33" s="203"/>
      <c r="J33" s="149"/>
    </row>
    <row r="34" spans="2:10" ht="25.35" customHeight="1">
      <c r="B34" s="112"/>
      <c r="D34" s="112"/>
      <c r="E34" s="203"/>
      <c r="J34" s="205"/>
    </row>
    <row r="35" spans="2:10" ht="25.35" customHeight="1">
      <c r="B35" s="37" t="s">
        <v>745</v>
      </c>
      <c r="C35" s="112"/>
      <c r="D35" s="112"/>
      <c r="E35" s="206">
        <f>+D32+D33</f>
        <v>5743055.6728000045</v>
      </c>
      <c r="J35" s="149"/>
    </row>
    <row r="36" spans="2:10" ht="25.35" customHeight="1">
      <c r="B36" s="37" t="s">
        <v>746</v>
      </c>
      <c r="C36" s="112"/>
      <c r="D36" s="112"/>
      <c r="E36" s="721">
        <f>-'EXHIBIT D'!G276</f>
        <v>40987904.979999997</v>
      </c>
      <c r="J36" s="207"/>
    </row>
    <row r="37" spans="2:10" ht="25.35" customHeight="1">
      <c r="D37" s="112"/>
      <c r="E37" s="206"/>
      <c r="J37" s="149"/>
    </row>
    <row r="38" spans="2:10" ht="25.35" customHeight="1">
      <c r="B38" s="112" t="s">
        <v>747</v>
      </c>
      <c r="D38" s="112"/>
      <c r="E38" s="720">
        <f>+E35-E36</f>
        <v>-35244849.307199992</v>
      </c>
      <c r="J38" s="149"/>
    </row>
    <row r="39" spans="2:10" ht="25.35" customHeight="1">
      <c r="B39" s="112"/>
      <c r="C39" s="112"/>
      <c r="D39" s="112"/>
      <c r="E39" s="208"/>
    </row>
    <row r="40" spans="2:10" ht="25.35" customHeight="1">
      <c r="B40" s="24" t="s">
        <v>748</v>
      </c>
      <c r="C40" s="112"/>
      <c r="D40" s="35"/>
      <c r="E40" s="722">
        <f>'EXHIBIT D'!G265+'EXHIBIT D'!G266+'EXHIBIT D'!G267+'EXHIBIT D'!G268+'EXHIBIT D'!G269+'EXHIBIT D'!G270+'EXHIBIT D'!G271+'EXHIBIT D'!G272</f>
        <v>5849370</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749</v>
      </c>
      <c r="C44" s="112"/>
      <c r="D44" s="112"/>
      <c r="E44" s="724">
        <f>+E40/E23</f>
        <v>6.618965399744739E-2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election activeCell="G31" sqref="G31"/>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751</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Eastern Florida State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191">
        <v>4.59</v>
      </c>
      <c r="D14" s="1191">
        <v>9.18</v>
      </c>
      <c r="E14" s="1191">
        <v>18.36</v>
      </c>
      <c r="F14" s="1191">
        <v>4.59</v>
      </c>
      <c r="G14" s="844">
        <f>SUM(B14:F14)</f>
        <v>128.51</v>
      </c>
      <c r="H14" s="474">
        <f>G14*30</f>
        <v>3855.2999999999997</v>
      </c>
      <c r="I14" s="24"/>
    </row>
    <row r="15" spans="1:18" s="37" customFormat="1" ht="20.100000000000001" customHeight="1">
      <c r="A15" s="112" t="s">
        <v>212</v>
      </c>
      <c r="B15" s="1192">
        <v>78.84</v>
      </c>
      <c r="C15" s="1192">
        <v>3.46</v>
      </c>
      <c r="D15" s="1192">
        <v>7.88</v>
      </c>
      <c r="E15" s="1192">
        <v>9.8800000000000008</v>
      </c>
      <c r="F15" s="1192">
        <v>3.94</v>
      </c>
      <c r="G15" s="844">
        <f>SUM(B15:F15)</f>
        <v>103.99999999999999</v>
      </c>
      <c r="H15" s="437">
        <f>G15*30</f>
        <v>3119.9999999999995</v>
      </c>
      <c r="I15" s="24"/>
    </row>
    <row r="16" spans="1:18" s="37" customFormat="1" ht="20.100000000000001" customHeight="1" thickBot="1">
      <c r="A16" s="35" t="s">
        <v>82</v>
      </c>
      <c r="B16" s="1193">
        <v>69.599999999999994</v>
      </c>
      <c r="C16" s="1193">
        <v>0</v>
      </c>
      <c r="D16" s="1194"/>
      <c r="E16" s="1193">
        <v>3.6</v>
      </c>
      <c r="F16" s="1193">
        <v>3.6</v>
      </c>
      <c r="G16" s="438">
        <f>SUM(B16:F16)</f>
        <v>76.799999999999983</v>
      </c>
      <c r="H16" s="845">
        <f>G16*30</f>
        <v>2303.9999999999995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292.63</v>
      </c>
      <c r="D29" s="1191">
        <v>19.22</v>
      </c>
      <c r="E29" s="676">
        <f>D14</f>
        <v>9.18</v>
      </c>
      <c r="F29" s="1191">
        <v>76.88</v>
      </c>
      <c r="G29" s="1191">
        <v>19.22</v>
      </c>
      <c r="H29" s="448">
        <f>SUM(B29:G29)</f>
        <v>508.91999999999996</v>
      </c>
      <c r="I29" s="468">
        <f>H29*30</f>
        <v>15267.599999999999</v>
      </c>
      <c r="J29" s="24"/>
    </row>
    <row r="30" spans="1:11" s="37" customFormat="1" ht="20.100000000000001" customHeight="1">
      <c r="A30" s="112" t="str">
        <f t="shared" si="0"/>
        <v>LOWER LEVEL - CREDIT (A &amp; P, PSV, DEVELOPMENTAL EDUCATION AND EPI)</v>
      </c>
      <c r="B30" s="848">
        <f t="shared" si="0"/>
        <v>78.84</v>
      </c>
      <c r="C30" s="1195">
        <v>236.69</v>
      </c>
      <c r="D30" s="1195">
        <v>3.46</v>
      </c>
      <c r="E30" s="849">
        <f>D15</f>
        <v>7.88</v>
      </c>
      <c r="F30" s="1195">
        <v>63.11</v>
      </c>
      <c r="G30" s="1195">
        <v>15.78</v>
      </c>
      <c r="H30" s="844">
        <f>SUM(B30:G30)</f>
        <v>405.75999999999993</v>
      </c>
      <c r="I30" s="437">
        <f>H30*30</f>
        <v>12172.799999999997</v>
      </c>
    </row>
    <row r="31" spans="1:11" s="37" customFormat="1" ht="20.100000000000001" customHeight="1" thickBot="1">
      <c r="A31" s="112" t="str">
        <f t="shared" si="0"/>
        <v>CAREER CERTIFICATE AND APPLIED TECHNOLOGY DIPLOMA</v>
      </c>
      <c r="B31" s="527">
        <f t="shared" si="0"/>
        <v>69.599999999999994</v>
      </c>
      <c r="C31" s="1192">
        <v>209.7</v>
      </c>
      <c r="D31" s="1192">
        <v>0</v>
      </c>
      <c r="E31" s="405"/>
      <c r="F31" s="1192">
        <v>14.1</v>
      </c>
      <c r="G31" s="1192">
        <v>14.1</v>
      </c>
      <c r="H31" s="438">
        <f>SUM(B31:G31)</f>
        <v>307.5</v>
      </c>
      <c r="I31" s="845">
        <f>H31*30</f>
        <v>9225</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752</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abSelected="1" topLeftCell="A22" zoomScale="50" zoomScaleNormal="50" zoomScaleSheetLayoutView="50" zoomScalePageLayoutView="50" workbookViewId="0">
      <selection activeCell="H51" sqref="H51"/>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753</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Eastern Florida State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f>29631*1.065</f>
        <v>31557.014999999999</v>
      </c>
      <c r="E10" s="680">
        <f>371+36</f>
        <v>407</v>
      </c>
      <c r="F10" s="681">
        <f t="shared" ref="F10:F15" si="0">+D10-E10</f>
        <v>31150.014999999999</v>
      </c>
      <c r="G10" s="681">
        <f>'EXHIBIT B'!B14</f>
        <v>91.79</v>
      </c>
      <c r="H10" s="682">
        <f>ROUND(+F10*G10,0)</f>
        <v>2859260</v>
      </c>
      <c r="I10" s="149"/>
      <c r="J10" s="149"/>
    </row>
    <row r="11" spans="1:10" ht="20.100000000000001" customHeight="1">
      <c r="A11" s="855" t="s">
        <v>205</v>
      </c>
      <c r="B11" s="855" t="s">
        <v>133</v>
      </c>
      <c r="C11" s="856" t="s">
        <v>233</v>
      </c>
      <c r="D11" s="854">
        <f>165125*1.055</f>
        <v>174206.875</v>
      </c>
      <c r="E11" s="854">
        <f>4026+43179</f>
        <v>47205</v>
      </c>
      <c r="F11" s="857">
        <f t="shared" si="0"/>
        <v>127001.875</v>
      </c>
      <c r="G11" s="857">
        <f>+'EXHIBIT B'!B15</f>
        <v>78.84</v>
      </c>
      <c r="H11" s="858">
        <f t="shared" ref="H11:H15" si="1">ROUND(+F11*G11,0)</f>
        <v>10012828</v>
      </c>
      <c r="I11" s="149"/>
      <c r="J11" s="149"/>
    </row>
    <row r="12" spans="1:10" ht="20.100000000000001" customHeight="1">
      <c r="A12" s="855" t="s">
        <v>205</v>
      </c>
      <c r="B12" s="855" t="s">
        <v>134</v>
      </c>
      <c r="C12" s="856" t="s">
        <v>234</v>
      </c>
      <c r="D12" s="854">
        <f>50599*1.034</f>
        <v>52319.366000000002</v>
      </c>
      <c r="E12" s="854">
        <f>1001+4851</f>
        <v>5852</v>
      </c>
      <c r="F12" s="857">
        <f t="shared" si="0"/>
        <v>46467.366000000002</v>
      </c>
      <c r="G12" s="857">
        <f>+'EXHIBIT B'!B15</f>
        <v>78.84</v>
      </c>
      <c r="H12" s="858">
        <f t="shared" si="1"/>
        <v>3663487</v>
      </c>
      <c r="I12" s="149"/>
      <c r="J12" s="149"/>
    </row>
    <row r="13" spans="1:10" ht="20.100000000000001" customHeight="1">
      <c r="A13" s="855" t="s">
        <v>205</v>
      </c>
      <c r="B13" s="855" t="s">
        <v>82</v>
      </c>
      <c r="C13" s="856" t="s">
        <v>235</v>
      </c>
      <c r="D13" s="859">
        <f>10915*1</f>
        <v>10915</v>
      </c>
      <c r="E13" s="859">
        <v>392</v>
      </c>
      <c r="F13" s="857">
        <f t="shared" si="0"/>
        <v>10523</v>
      </c>
      <c r="G13" s="857">
        <f>+'EXHIBIT B'!B16</f>
        <v>69.599999999999994</v>
      </c>
      <c r="H13" s="858">
        <f t="shared" si="1"/>
        <v>732401</v>
      </c>
      <c r="I13" s="149"/>
      <c r="J13" s="149"/>
    </row>
    <row r="14" spans="1:10" ht="20.100000000000001" customHeight="1">
      <c r="A14" s="855" t="s">
        <v>205</v>
      </c>
      <c r="B14" s="855" t="s">
        <v>135</v>
      </c>
      <c r="C14" s="856" t="s">
        <v>236</v>
      </c>
      <c r="D14" s="854">
        <f>5221*1</f>
        <v>5221</v>
      </c>
      <c r="E14" s="854">
        <v>289</v>
      </c>
      <c r="F14" s="857">
        <f t="shared" si="0"/>
        <v>4932</v>
      </c>
      <c r="G14" s="857">
        <f>+'EXHIBIT B'!B15</f>
        <v>78.84</v>
      </c>
      <c r="H14" s="858">
        <f t="shared" si="1"/>
        <v>388839</v>
      </c>
      <c r="I14" s="149"/>
      <c r="J14" s="149"/>
    </row>
    <row r="15" spans="1:10" ht="20.100000000000001" customHeight="1" thickBot="1">
      <c r="A15" s="860" t="s">
        <v>205</v>
      </c>
      <c r="B15" s="860" t="s">
        <v>136</v>
      </c>
      <c r="C15" s="861">
        <v>40160</v>
      </c>
      <c r="D15" s="862">
        <v>0</v>
      </c>
      <c r="E15" s="862">
        <v>0</v>
      </c>
      <c r="F15" s="863">
        <f t="shared" si="0"/>
        <v>0</v>
      </c>
      <c r="G15" s="863">
        <f>+'EXHIBIT B'!B15</f>
        <v>78.84</v>
      </c>
      <c r="H15" s="864">
        <f t="shared" si="1"/>
        <v>0</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274219.25600000005</v>
      </c>
      <c r="E17" s="386">
        <f>SUM(E10:E15)</f>
        <v>54145</v>
      </c>
      <c r="F17" s="387">
        <f>SUM(F10:F15)</f>
        <v>220074.25600000002</v>
      </c>
      <c r="G17" s="387"/>
      <c r="H17" s="388">
        <f>SUM(H10:H15)</f>
        <v>17656815</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197</v>
      </c>
      <c r="E19" s="867">
        <f>'EXHIBIT B'!C29</f>
        <v>292.63</v>
      </c>
      <c r="F19" s="868">
        <f t="shared" ref="F19:F24" si="2">ROUND(+D19*E19,0)</f>
        <v>57648</v>
      </c>
      <c r="G19" s="390"/>
      <c r="H19" s="390"/>
    </row>
    <row r="20" spans="1:10" ht="20.100000000000001" customHeight="1">
      <c r="A20" s="869" t="s">
        <v>220</v>
      </c>
      <c r="B20" s="869" t="s">
        <v>133</v>
      </c>
      <c r="C20" s="870" t="s">
        <v>240</v>
      </c>
      <c r="D20" s="877">
        <f>5735*0.75</f>
        <v>4301.25</v>
      </c>
      <c r="E20" s="871">
        <f>+'EXHIBIT B'!C30</f>
        <v>236.69</v>
      </c>
      <c r="F20" s="872">
        <f t="shared" si="2"/>
        <v>1018063</v>
      </c>
      <c r="G20" s="391"/>
      <c r="H20" s="391"/>
    </row>
    <row r="21" spans="1:10" ht="20.100000000000001" customHeight="1">
      <c r="A21" s="869" t="s">
        <v>220</v>
      </c>
      <c r="B21" s="869" t="s">
        <v>134</v>
      </c>
      <c r="C21" s="870" t="s">
        <v>241</v>
      </c>
      <c r="D21" s="877">
        <f>1315*0.75</f>
        <v>986.25</v>
      </c>
      <c r="E21" s="871">
        <f>+'EXHIBIT B'!C30</f>
        <v>236.69</v>
      </c>
      <c r="F21" s="872">
        <f t="shared" si="2"/>
        <v>233436</v>
      </c>
      <c r="G21" s="391"/>
      <c r="H21" s="391"/>
    </row>
    <row r="22" spans="1:10" ht="20.100000000000001" customHeight="1">
      <c r="A22" s="869" t="s">
        <v>220</v>
      </c>
      <c r="B22" s="869" t="s">
        <v>82</v>
      </c>
      <c r="C22" s="870" t="s">
        <v>242</v>
      </c>
      <c r="D22" s="877">
        <f>191*2</f>
        <v>382</v>
      </c>
      <c r="E22" s="871">
        <f>+'EXHIBIT B'!C31</f>
        <v>209.7</v>
      </c>
      <c r="F22" s="872">
        <f t="shared" si="2"/>
        <v>80105</v>
      </c>
      <c r="G22" s="391"/>
      <c r="H22" s="391"/>
    </row>
    <row r="23" spans="1:10" ht="20.100000000000001" customHeight="1">
      <c r="A23" s="869" t="s">
        <v>220</v>
      </c>
      <c r="B23" s="869" t="s">
        <v>135</v>
      </c>
      <c r="C23" s="870" t="s">
        <v>243</v>
      </c>
      <c r="D23" s="877">
        <v>479</v>
      </c>
      <c r="E23" s="871">
        <f>+'EXHIBIT B'!C30</f>
        <v>236.69</v>
      </c>
      <c r="F23" s="872">
        <f t="shared" si="2"/>
        <v>113375</v>
      </c>
      <c r="G23" s="391"/>
      <c r="H23" s="391"/>
    </row>
    <row r="24" spans="1:10" ht="20.100000000000001" customHeight="1" thickBot="1">
      <c r="A24" s="745" t="s">
        <v>220</v>
      </c>
      <c r="B24" s="745" t="s">
        <v>136</v>
      </c>
      <c r="C24" s="746">
        <v>40360</v>
      </c>
      <c r="D24" s="1197">
        <v>0</v>
      </c>
      <c r="E24" s="747">
        <f>+'EXHIBIT B'!C30</f>
        <v>236.69</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6345.5</v>
      </c>
      <c r="E26" s="875"/>
      <c r="F26" s="876">
        <f>SUM(F19:F24)</f>
        <v>1502627</v>
      </c>
      <c r="G26" s="395"/>
      <c r="H26" s="395"/>
    </row>
    <row r="27" spans="1:10" ht="20.100000000000001" customHeight="1" thickBot="1">
      <c r="A27" s="396" t="s">
        <v>244</v>
      </c>
      <c r="B27" s="396"/>
      <c r="C27" s="396"/>
      <c r="D27" s="396"/>
      <c r="E27" s="396"/>
      <c r="F27" s="397"/>
      <c r="G27" s="683"/>
      <c r="H27" s="398">
        <f>H17+F26</f>
        <v>19159442</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19159442</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807</v>
      </c>
      <c r="B54" s="1198">
        <v>1335323</v>
      </c>
      <c r="C54" s="1200">
        <v>1</v>
      </c>
      <c r="D54" s="1201"/>
      <c r="E54" s="1200">
        <v>8</v>
      </c>
      <c r="F54" s="1201"/>
    </row>
    <row r="55" spans="1:10" ht="24.95" customHeight="1">
      <c r="A55" s="884" t="s">
        <v>808</v>
      </c>
      <c r="B55" s="877">
        <v>52000</v>
      </c>
      <c r="C55" s="1202">
        <v>1</v>
      </c>
      <c r="D55" s="1203"/>
      <c r="E55" s="1202">
        <v>2</v>
      </c>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1387323</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725</v>
      </c>
      <c r="B63" s="1199">
        <v>0</v>
      </c>
      <c r="C63" s="1200"/>
      <c r="D63" s="1201"/>
      <c r="E63" s="1200"/>
      <c r="F63" s="1201"/>
      <c r="I63" s="149"/>
    </row>
    <row r="64" spans="1:10" ht="24.95" customHeight="1">
      <c r="A64" s="884"/>
      <c r="B64" s="877">
        <v>0</v>
      </c>
      <c r="C64" s="1202"/>
      <c r="D64" s="1203"/>
      <c r="E64" s="1202"/>
      <c r="F64" s="1203"/>
      <c r="I64" s="149"/>
    </row>
    <row r="65" spans="1:9" ht="24.95" customHeight="1">
      <c r="A65" s="884"/>
      <c r="B65" s="877">
        <v>0</v>
      </c>
      <c r="C65" s="1202"/>
      <c r="D65" s="1203"/>
      <c r="E65" s="1202"/>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0</v>
      </c>
      <c r="C69" s="1210"/>
      <c r="D69" s="1211"/>
      <c r="E69" s="1210"/>
      <c r="F69" s="1211"/>
    </row>
    <row r="70" spans="1:9" ht="24.95" customHeight="1" thickBot="1">
      <c r="A70" s="374" t="s">
        <v>270</v>
      </c>
      <c r="B70" s="375">
        <f>+B69+B60</f>
        <v>1387323</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topLeftCell="A4"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Eastern Florida State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zoomScale="70" zoomScaleNormal="70" zoomScaleSheetLayoutView="70" zoomScalePageLayoutView="70" workbookViewId="0">
      <selection activeCell="G15" sqref="G15"/>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Eastern Florida State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754</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2859260</v>
      </c>
      <c r="H12" s="219"/>
    </row>
    <row r="13" spans="1:8" ht="20.100000000000001" customHeight="1">
      <c r="A13" s="625" t="s">
        <v>205</v>
      </c>
      <c r="B13" s="226"/>
      <c r="C13" s="219" t="s">
        <v>133</v>
      </c>
      <c r="D13" s="226"/>
      <c r="E13" s="226"/>
      <c r="F13" s="232" t="s">
        <v>233</v>
      </c>
      <c r="G13" s="231">
        <f>+'EXHIBIT C'!H11+'EXHIBIT C(2)'!E14</f>
        <v>10012828</v>
      </c>
      <c r="H13" s="219"/>
    </row>
    <row r="14" spans="1:8" ht="20.100000000000001" customHeight="1">
      <c r="A14" s="625" t="s">
        <v>205</v>
      </c>
      <c r="B14" s="226"/>
      <c r="C14" s="226" t="s">
        <v>134</v>
      </c>
      <c r="D14" s="226"/>
      <c r="E14" s="226"/>
      <c r="F14" s="232" t="s">
        <v>234</v>
      </c>
      <c r="G14" s="649">
        <f>+'EXHIBIT C'!H12+'EXHIBIT C(2)'!E15</f>
        <v>3663487</v>
      </c>
      <c r="H14" s="219"/>
    </row>
    <row r="15" spans="1:8" ht="20.100000000000001" customHeight="1">
      <c r="A15" s="625" t="s">
        <v>205</v>
      </c>
      <c r="B15" s="226"/>
      <c r="C15" s="233" t="s">
        <v>287</v>
      </c>
      <c r="D15" s="226"/>
      <c r="E15" s="226"/>
      <c r="F15" s="232" t="s">
        <v>235</v>
      </c>
      <c r="G15" s="649">
        <f>+'EXHIBIT C'!H13+'EXHIBIT C(2)'!E16</f>
        <v>732401</v>
      </c>
      <c r="H15" s="219"/>
    </row>
    <row r="16" spans="1:8" ht="20.100000000000001" customHeight="1">
      <c r="A16" s="625" t="s">
        <v>205</v>
      </c>
      <c r="B16" s="226"/>
      <c r="C16" s="233" t="s">
        <v>288</v>
      </c>
      <c r="D16" s="226"/>
      <c r="E16" s="226"/>
      <c r="F16" s="232" t="s">
        <v>236</v>
      </c>
      <c r="G16" s="650">
        <f>+'EXHIBIT C'!H14+'EXHIBIT C(2)'!E17</f>
        <v>388839</v>
      </c>
      <c r="H16" s="219"/>
    </row>
    <row r="17" spans="1:8" ht="20.100000000000001" customHeight="1">
      <c r="A17" s="625" t="s">
        <v>205</v>
      </c>
      <c r="B17" s="226"/>
      <c r="C17" s="219" t="s">
        <v>136</v>
      </c>
      <c r="D17" s="226"/>
      <c r="E17" s="226"/>
      <c r="F17" s="235">
        <v>40160</v>
      </c>
      <c r="G17" s="650">
        <f>+'EXHIBIT C'!H15+'EXHIBIT C(2)'!E18</f>
        <v>0</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17656815</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57648</v>
      </c>
      <c r="H21" s="662"/>
    </row>
    <row r="22" spans="1:8" ht="20.100000000000001" customHeight="1">
      <c r="A22" s="626" t="s">
        <v>220</v>
      </c>
      <c r="B22" s="226"/>
      <c r="C22" s="219" t="s">
        <v>133</v>
      </c>
      <c r="D22" s="226"/>
      <c r="E22" s="226"/>
      <c r="F22" s="232" t="s">
        <v>240</v>
      </c>
      <c r="G22" s="237">
        <f>+'EXHIBIT C'!F20+'EXHIBIT C(2)'!E23</f>
        <v>1018063</v>
      </c>
      <c r="H22" s="219"/>
    </row>
    <row r="23" spans="1:8" ht="20.100000000000001" customHeight="1">
      <c r="A23" s="626" t="s">
        <v>220</v>
      </c>
      <c r="B23" s="226"/>
      <c r="C23" s="226" t="s">
        <v>134</v>
      </c>
      <c r="D23" s="226"/>
      <c r="E23" s="226"/>
      <c r="F23" s="232" t="s">
        <v>241</v>
      </c>
      <c r="G23" s="242">
        <f>+'EXHIBIT C'!F21+'EXHIBIT C(2)'!E24</f>
        <v>233436</v>
      </c>
      <c r="H23" s="219"/>
    </row>
    <row r="24" spans="1:8" ht="20.100000000000001" customHeight="1">
      <c r="A24" s="626" t="s">
        <v>220</v>
      </c>
      <c r="B24" s="226"/>
      <c r="C24" s="233" t="s">
        <v>287</v>
      </c>
      <c r="D24" s="226"/>
      <c r="E24" s="226"/>
      <c r="F24" s="232" t="s">
        <v>242</v>
      </c>
      <c r="G24" s="242">
        <f>+'EXHIBIT C'!F22+'EXHIBIT C(2)'!E25</f>
        <v>80105</v>
      </c>
      <c r="H24" s="219"/>
    </row>
    <row r="25" spans="1:8" ht="20.100000000000001" customHeight="1">
      <c r="A25" s="626" t="s">
        <v>220</v>
      </c>
      <c r="B25" s="226"/>
      <c r="C25" s="233" t="s">
        <v>288</v>
      </c>
      <c r="D25" s="226"/>
      <c r="E25" s="226"/>
      <c r="F25" s="232" t="s">
        <v>243</v>
      </c>
      <c r="G25" s="242">
        <f>+'EXHIBIT C'!F23+'EXHIBIT C(2)'!E26</f>
        <v>113375</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1502627</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19159442</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400000</v>
      </c>
      <c r="H47" s="662"/>
    </row>
    <row r="48" spans="1:8" ht="20.100000000000001" customHeight="1">
      <c r="A48" s="625" t="s">
        <v>302</v>
      </c>
      <c r="B48" s="219"/>
      <c r="C48" s="243"/>
      <c r="D48" s="243"/>
      <c r="E48" s="243"/>
      <c r="F48" s="244" t="s">
        <v>303</v>
      </c>
      <c r="G48" s="569">
        <v>365000</v>
      </c>
      <c r="H48" s="662"/>
    </row>
    <row r="49" spans="1:8" ht="20.100000000000001" customHeight="1">
      <c r="A49" s="625" t="s">
        <v>304</v>
      </c>
      <c r="B49" s="226"/>
      <c r="C49" s="226"/>
      <c r="D49" s="226"/>
      <c r="E49" s="226"/>
      <c r="F49" s="245" t="s">
        <v>305</v>
      </c>
      <c r="G49" s="569">
        <v>240651</v>
      </c>
      <c r="H49" s="219"/>
    </row>
    <row r="50" spans="1:8" ht="20.100000000000001" customHeight="1">
      <c r="A50" s="625" t="s">
        <v>306</v>
      </c>
      <c r="B50" s="226"/>
      <c r="C50" s="226"/>
      <c r="D50" s="226"/>
      <c r="E50" s="226"/>
      <c r="F50" s="245" t="s">
        <v>307</v>
      </c>
      <c r="G50" s="569">
        <f>1001700+150000+40722</f>
        <v>1192422</v>
      </c>
      <c r="H50" s="219"/>
    </row>
    <row r="51" spans="1:8" ht="20.100000000000001" customHeight="1">
      <c r="A51" s="625" t="s">
        <v>308</v>
      </c>
      <c r="B51" s="226"/>
      <c r="C51" s="226"/>
      <c r="D51" s="226"/>
      <c r="E51" s="226"/>
      <c r="F51" s="230">
        <v>40450</v>
      </c>
      <c r="G51" s="569">
        <f>1957404+10700</f>
        <v>1968104</v>
      </c>
      <c r="H51" s="219"/>
    </row>
    <row r="52" spans="1:8" ht="20.100000000000001" customHeight="1">
      <c r="A52" s="625" t="s">
        <v>309</v>
      </c>
      <c r="B52" s="226"/>
      <c r="C52" s="226"/>
      <c r="D52" s="226"/>
      <c r="E52" s="226"/>
      <c r="F52" s="245" t="s">
        <v>310</v>
      </c>
      <c r="G52" s="569">
        <v>203944</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98756</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71739</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0</v>
      </c>
      <c r="H58" s="219"/>
    </row>
    <row r="59" spans="1:8" ht="20.100000000000001" customHeight="1">
      <c r="A59" s="626" t="s">
        <v>323</v>
      </c>
      <c r="B59" s="229"/>
      <c r="C59" s="229"/>
      <c r="D59" s="229"/>
      <c r="E59" s="229"/>
      <c r="F59" s="245" t="s">
        <v>324</v>
      </c>
      <c r="G59" s="569">
        <f>731936+200000</f>
        <v>931936</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24631994</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f>3459790.68+500000</f>
        <v>3959790.68</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3959790.68</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39410676.032799996</v>
      </c>
      <c r="H75" s="219"/>
    </row>
    <row r="76" spans="1:8" ht="20.100000000000001" customHeight="1">
      <c r="A76" s="625" t="s">
        <v>798</v>
      </c>
      <c r="B76" s="226"/>
      <c r="C76" s="226"/>
      <c r="D76" s="226"/>
      <c r="E76" s="226"/>
      <c r="F76" s="235">
        <v>42130</v>
      </c>
      <c r="G76" s="652">
        <v>1732067</v>
      </c>
      <c r="H76" s="219"/>
    </row>
    <row r="77" spans="1:8" ht="20.100000000000001" customHeight="1">
      <c r="A77" s="628" t="s">
        <v>341</v>
      </c>
      <c r="B77" s="629"/>
      <c r="C77" s="629"/>
      <c r="D77" s="629"/>
      <c r="E77" s="629"/>
      <c r="F77" s="248" t="s">
        <v>342</v>
      </c>
      <c r="G77" s="653">
        <f>484687+263513</f>
        <v>748200</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7500</v>
      </c>
      <c r="H79" s="219"/>
    </row>
    <row r="80" spans="1:8" ht="20.100000000000001" customHeight="1">
      <c r="A80" s="625" t="s">
        <v>347</v>
      </c>
      <c r="B80" s="226"/>
      <c r="C80" s="226"/>
      <c r="D80" s="226"/>
      <c r="E80" s="226"/>
      <c r="F80" s="232" t="s">
        <v>348</v>
      </c>
      <c r="G80" s="652">
        <f>300000+902500</f>
        <v>1202500</v>
      </c>
      <c r="H80" s="219"/>
    </row>
    <row r="81" spans="1:10" ht="20.100000000000001" customHeight="1">
      <c r="A81" s="625" t="s">
        <v>349</v>
      </c>
      <c r="B81" s="226"/>
      <c r="C81" s="226"/>
      <c r="D81" s="226"/>
      <c r="E81" s="226"/>
      <c r="F81" s="232" t="s">
        <v>350</v>
      </c>
      <c r="G81" s="651">
        <f>'CHECK SHEET'!D104</f>
        <v>9012111</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5000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52118054.032799996</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30000</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541293</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571293</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0</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362145</v>
      </c>
      <c r="H110" s="219"/>
    </row>
    <row r="111" spans="1:8" ht="20.100000000000001" customHeight="1">
      <c r="A111" s="625" t="s">
        <v>378</v>
      </c>
      <c r="B111" s="226"/>
      <c r="C111" s="226"/>
      <c r="D111" s="226"/>
      <c r="E111" s="226"/>
      <c r="F111" s="232" t="s">
        <v>379</v>
      </c>
      <c r="G111" s="570">
        <v>57000</v>
      </c>
      <c r="H111" s="219"/>
    </row>
    <row r="112" spans="1:8" ht="20.100000000000001" customHeight="1">
      <c r="A112" s="625" t="s">
        <v>380</v>
      </c>
      <c r="B112" s="226"/>
      <c r="C112" s="226"/>
      <c r="D112" s="226"/>
      <c r="E112" s="226"/>
      <c r="F112" s="232" t="s">
        <v>381</v>
      </c>
      <c r="G112" s="570">
        <f>50000+300</f>
        <v>50300</v>
      </c>
      <c r="H112" s="219"/>
    </row>
    <row r="113" spans="1:8" ht="20.100000000000001" customHeight="1">
      <c r="A113" s="625" t="s">
        <v>382</v>
      </c>
      <c r="B113" s="226"/>
      <c r="C113" s="226"/>
      <c r="D113" s="226"/>
      <c r="E113" s="226"/>
      <c r="F113" s="232" t="s">
        <v>383</v>
      </c>
      <c r="G113" s="1337">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469445</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475000</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f>63000+12000</f>
        <v>75000</v>
      </c>
      <c r="H125" s="219"/>
    </row>
    <row r="126" spans="1:8" ht="20.100000000000001" customHeight="1">
      <c r="A126" s="625" t="s">
        <v>395</v>
      </c>
      <c r="B126" s="226"/>
      <c r="C126" s="226"/>
      <c r="D126" s="226"/>
      <c r="E126" s="226"/>
      <c r="F126" s="232" t="s">
        <v>396</v>
      </c>
      <c r="G126" s="570">
        <v>136400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686400</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86528</v>
      </c>
      <c r="H136" s="219"/>
    </row>
    <row r="137" spans="1:8" ht="20.100000000000001" customHeight="1">
      <c r="A137" s="625" t="s">
        <v>407</v>
      </c>
      <c r="B137" s="226"/>
      <c r="C137" s="226"/>
      <c r="D137" s="226"/>
      <c r="E137" s="226"/>
      <c r="F137" s="235">
        <v>49520</v>
      </c>
      <c r="G137" s="570">
        <v>0</v>
      </c>
      <c r="H137" s="219"/>
    </row>
    <row r="138" spans="1:8" ht="20.100000000000001" customHeight="1">
      <c r="A138" s="1254" t="s">
        <v>734</v>
      </c>
      <c r="B138" s="226"/>
      <c r="C138" s="226"/>
      <c r="D138" s="226"/>
      <c r="E138" s="226"/>
      <c r="F138" s="1255" t="s">
        <v>733</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86528</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82523504.712799996</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2748938.95</v>
      </c>
      <c r="H148" s="219"/>
    </row>
    <row r="149" spans="1:8" ht="20.100000000000001" customHeight="1">
      <c r="A149" s="625" t="s">
        <v>417</v>
      </c>
      <c r="B149" s="219"/>
      <c r="C149" s="219"/>
      <c r="D149" s="219"/>
      <c r="E149" s="219"/>
      <c r="F149" s="232" t="s">
        <v>418</v>
      </c>
      <c r="G149" s="574">
        <v>0</v>
      </c>
      <c r="H149" s="219"/>
    </row>
    <row r="150" spans="1:8" ht="20.100000000000001" customHeight="1">
      <c r="A150" s="625" t="s">
        <v>419</v>
      </c>
      <c r="B150" s="219"/>
      <c r="C150" s="219"/>
      <c r="D150" s="219"/>
      <c r="E150" s="219"/>
      <c r="F150" s="232" t="s">
        <v>420</v>
      </c>
      <c r="G150" s="574">
        <v>0</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f>14540259.11+665144.84+645510.44</f>
        <v>15850914.389999999</v>
      </c>
      <c r="H153" s="219"/>
    </row>
    <row r="154" spans="1:8" ht="20.100000000000001" customHeight="1">
      <c r="A154" s="625" t="s">
        <v>427</v>
      </c>
      <c r="B154" s="226"/>
      <c r="C154" s="226"/>
      <c r="D154" s="226"/>
      <c r="E154" s="226"/>
      <c r="F154" s="232" t="s">
        <v>428</v>
      </c>
      <c r="G154" s="574">
        <f>4457604.42+288460.67</f>
        <v>4746065.09</v>
      </c>
      <c r="H154" s="219"/>
    </row>
    <row r="155" spans="1:8" ht="20.100000000000001" customHeight="1">
      <c r="A155" s="625" t="s">
        <v>429</v>
      </c>
      <c r="B155" s="226"/>
      <c r="C155" s="226"/>
      <c r="D155" s="226"/>
      <c r="E155" s="226"/>
      <c r="F155" s="232" t="s">
        <v>430</v>
      </c>
      <c r="G155" s="574">
        <v>13950</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10386819.82</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171073.8</v>
      </c>
      <c r="H166" s="219"/>
    </row>
    <row r="167" spans="1:8" ht="20.100000000000001" customHeight="1">
      <c r="A167" s="625" t="s">
        <v>452</v>
      </c>
      <c r="B167" s="226"/>
      <c r="C167" s="226"/>
      <c r="D167" s="226"/>
      <c r="E167" s="226"/>
      <c r="F167" s="232" t="s">
        <v>453</v>
      </c>
      <c r="G167" s="574">
        <v>48492.4</v>
      </c>
      <c r="H167" s="219"/>
    </row>
    <row r="168" spans="1:8" ht="20.100000000000001" customHeight="1">
      <c r="A168" s="625" t="s">
        <v>454</v>
      </c>
      <c r="B168" s="226"/>
      <c r="C168" s="226"/>
      <c r="D168" s="226"/>
      <c r="E168" s="226"/>
      <c r="F168" s="232" t="s">
        <v>455</v>
      </c>
      <c r="G168" s="574">
        <f>6329713.34+1891027.19</f>
        <v>8220740.5299999993</v>
      </c>
      <c r="H168" s="219"/>
    </row>
    <row r="169" spans="1:8" ht="20.100000000000001" customHeight="1">
      <c r="A169" s="625" t="s">
        <v>456</v>
      </c>
      <c r="B169" s="226"/>
      <c r="C169" s="226"/>
      <c r="D169" s="226"/>
      <c r="E169" s="226"/>
      <c r="F169" s="232" t="s">
        <v>457</v>
      </c>
      <c r="G169" s="574">
        <v>0</v>
      </c>
      <c r="H169" s="219"/>
    </row>
    <row r="170" spans="1:8" ht="20.100000000000001" customHeight="1">
      <c r="A170" s="625" t="s">
        <v>458</v>
      </c>
      <c r="B170" s="226"/>
      <c r="C170" s="226"/>
      <c r="D170" s="226"/>
      <c r="E170" s="226"/>
      <c r="F170" s="232" t="s">
        <v>459</v>
      </c>
      <c r="G170" s="574">
        <f>618267.66+264251.07</f>
        <v>882518.73</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1041562.5</v>
      </c>
      <c r="H172" s="219"/>
    </row>
    <row r="173" spans="1:8" ht="20.100000000000001" customHeight="1">
      <c r="A173" s="625" t="s">
        <v>464</v>
      </c>
      <c r="B173" s="226"/>
      <c r="C173" s="226"/>
      <c r="D173" s="226"/>
      <c r="E173" s="226"/>
      <c r="F173" s="235">
        <v>56001</v>
      </c>
      <c r="G173" s="574">
        <v>3265710.63</v>
      </c>
      <c r="H173" s="219"/>
    </row>
    <row r="174" spans="1:8" ht="20.100000000000001" customHeight="1">
      <c r="A174" s="625" t="s">
        <v>465</v>
      </c>
      <c r="B174" s="226"/>
      <c r="C174" s="226"/>
      <c r="D174" s="226"/>
      <c r="E174" s="226"/>
      <c r="F174" s="235">
        <v>56002</v>
      </c>
      <c r="G174" s="574">
        <v>13132.5</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11992</v>
      </c>
      <c r="H177" s="219"/>
    </row>
    <row r="178" spans="1:8" ht="20.100000000000001" customHeight="1">
      <c r="A178" s="634" t="s">
        <v>471</v>
      </c>
      <c r="B178" s="219"/>
      <c r="C178" s="219"/>
      <c r="D178" s="219"/>
      <c r="E178" s="219"/>
      <c r="F178" s="253" t="s">
        <v>472</v>
      </c>
      <c r="G178" s="574">
        <v>58740.79</v>
      </c>
      <c r="H178" s="219"/>
    </row>
    <row r="179" spans="1:8" ht="20.100000000000001" customHeight="1">
      <c r="A179" s="625" t="s">
        <v>473</v>
      </c>
      <c r="B179" s="226"/>
      <c r="C179" s="226"/>
      <c r="D179" s="226"/>
      <c r="E179" s="226"/>
      <c r="F179" s="232" t="s">
        <v>474</v>
      </c>
      <c r="G179" s="574">
        <f>601516+169284.9</f>
        <v>770800.9</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72700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f>2664901.46+692577.66</f>
        <v>3357479.12</v>
      </c>
      <c r="H186" s="219"/>
    </row>
    <row r="187" spans="1:8" ht="20.100000000000001" customHeight="1">
      <c r="A187" s="625" t="s">
        <v>489</v>
      </c>
      <c r="B187" s="226"/>
      <c r="C187" s="226"/>
      <c r="D187" s="226"/>
      <c r="E187" s="226"/>
      <c r="F187" s="232" t="s">
        <v>490</v>
      </c>
      <c r="G187" s="574">
        <v>5537128.0499999998</v>
      </c>
      <c r="H187" s="219"/>
    </row>
    <row r="188" spans="1:8" ht="20.100000000000001" customHeight="1">
      <c r="A188" s="625" t="s">
        <v>491</v>
      </c>
      <c r="B188" s="226"/>
      <c r="C188" s="226"/>
      <c r="D188" s="226"/>
      <c r="E188" s="226"/>
      <c r="F188" s="232" t="s">
        <v>492</v>
      </c>
      <c r="G188" s="574">
        <v>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f>2401.2+113029.07+176613+11700+200000</f>
        <v>503743.27</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f>6115560.72+99474.65+201544.2+1350</f>
        <v>6417929.5700000003</v>
      </c>
      <c r="H192" s="219"/>
    </row>
    <row r="193" spans="1:8" ht="20.100000000000001" customHeight="1">
      <c r="A193" s="625" t="s">
        <v>500</v>
      </c>
      <c r="B193" s="226"/>
      <c r="C193" s="226"/>
      <c r="D193" s="226"/>
      <c r="E193" s="226"/>
      <c r="F193" s="232" t="s">
        <v>501</v>
      </c>
      <c r="G193" s="574">
        <v>0</v>
      </c>
      <c r="H193" s="219"/>
    </row>
    <row r="194" spans="1:8" ht="20.100000000000001" customHeight="1">
      <c r="A194" s="625" t="s">
        <v>502</v>
      </c>
      <c r="B194" s="226"/>
      <c r="C194" s="226"/>
      <c r="D194" s="226"/>
      <c r="E194" s="226"/>
      <c r="F194" s="232" t="s">
        <v>503</v>
      </c>
      <c r="G194" s="574">
        <v>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64120433.039999992</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100000</v>
      </c>
      <c r="H200" s="219"/>
    </row>
    <row r="201" spans="1:8" ht="20.100000000000001" customHeight="1">
      <c r="A201" s="625" t="s">
        <v>508</v>
      </c>
      <c r="B201" s="226"/>
      <c r="C201" s="226"/>
      <c r="D201" s="226"/>
      <c r="E201" s="226"/>
      <c r="F201" s="232" t="s">
        <v>509</v>
      </c>
      <c r="G201" s="574">
        <v>97000</v>
      </c>
      <c r="H201" s="219"/>
    </row>
    <row r="202" spans="1:8" ht="20.100000000000001" customHeight="1">
      <c r="A202" s="625" t="s">
        <v>510</v>
      </c>
      <c r="B202" s="226"/>
      <c r="C202" s="226"/>
      <c r="D202" s="226"/>
      <c r="E202" s="226"/>
      <c r="F202" s="232" t="s">
        <v>511</v>
      </c>
      <c r="G202" s="574">
        <v>168566</v>
      </c>
      <c r="H202" s="219"/>
    </row>
    <row r="203" spans="1:8" ht="20.100000000000001" customHeight="1">
      <c r="A203" s="625" t="s">
        <v>512</v>
      </c>
      <c r="B203" s="226"/>
      <c r="C203" s="226"/>
      <c r="D203" s="226"/>
      <c r="E203" s="226"/>
      <c r="F203" s="232" t="s">
        <v>513</v>
      </c>
      <c r="G203" s="574">
        <v>60000</v>
      </c>
      <c r="H203" s="219"/>
    </row>
    <row r="204" spans="1:8" ht="20.100000000000001" customHeight="1">
      <c r="A204" s="625" t="s">
        <v>514</v>
      </c>
      <c r="B204" s="226"/>
      <c r="C204" s="226"/>
      <c r="D204" s="226"/>
      <c r="E204" s="226"/>
      <c r="F204" s="232" t="s">
        <v>515</v>
      </c>
      <c r="G204" s="574">
        <v>2000000</v>
      </c>
      <c r="H204" s="219"/>
    </row>
    <row r="205" spans="1:8" ht="20.100000000000001" customHeight="1">
      <c r="A205" s="625" t="s">
        <v>516</v>
      </c>
      <c r="B205" s="226"/>
      <c r="C205" s="226"/>
      <c r="D205" s="226"/>
      <c r="E205" s="226"/>
      <c r="F205" s="232" t="s">
        <v>517</v>
      </c>
      <c r="G205" s="574">
        <v>104000</v>
      </c>
      <c r="H205" s="219"/>
    </row>
    <row r="206" spans="1:8" ht="20.100000000000001" customHeight="1">
      <c r="A206" s="625" t="s">
        <v>732</v>
      </c>
      <c r="B206" s="226"/>
      <c r="C206" s="226"/>
      <c r="D206" s="226"/>
      <c r="E206" s="226"/>
      <c r="F206" s="1250">
        <v>63100</v>
      </c>
      <c r="G206" s="574">
        <v>0</v>
      </c>
      <c r="H206" s="219"/>
    </row>
    <row r="207" spans="1:8" ht="20.100000000000001" customHeight="1">
      <c r="A207" s="625" t="s">
        <v>518</v>
      </c>
      <c r="B207" s="226"/>
      <c r="C207" s="226"/>
      <c r="D207" s="226"/>
      <c r="E207" s="226"/>
      <c r="F207" s="232" t="s">
        <v>519</v>
      </c>
      <c r="G207" s="574">
        <v>2467882</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205000</v>
      </c>
      <c r="H209" s="219"/>
    </row>
    <row r="210" spans="1:8" ht="20.100000000000001" customHeight="1">
      <c r="A210" s="625" t="s">
        <v>524</v>
      </c>
      <c r="B210" s="226"/>
      <c r="C210" s="226"/>
      <c r="D210" s="226"/>
      <c r="E210" s="226"/>
      <c r="F210" s="232" t="s">
        <v>525</v>
      </c>
      <c r="G210" s="574">
        <v>577500</v>
      </c>
      <c r="H210" s="219"/>
    </row>
    <row r="211" spans="1:8" ht="20.100000000000001" customHeight="1">
      <c r="A211" s="625" t="s">
        <v>526</v>
      </c>
      <c r="B211" s="226"/>
      <c r="C211" s="226"/>
      <c r="D211" s="226"/>
      <c r="E211" s="226"/>
      <c r="F211" s="232" t="s">
        <v>527</v>
      </c>
      <c r="G211" s="574">
        <v>1957000</v>
      </c>
      <c r="H211" s="219"/>
    </row>
    <row r="212" spans="1:8" ht="20.100000000000001" customHeight="1">
      <c r="A212" s="625" t="s">
        <v>528</v>
      </c>
      <c r="B212" s="226"/>
      <c r="C212" s="226"/>
      <c r="D212" s="226"/>
      <c r="E212" s="226"/>
      <c r="F212" s="232" t="s">
        <v>529</v>
      </c>
      <c r="G212" s="574">
        <v>131250</v>
      </c>
      <c r="H212" s="219"/>
    </row>
    <row r="213" spans="1:8" ht="20.100000000000001" customHeight="1">
      <c r="A213" s="625" t="s">
        <v>530</v>
      </c>
      <c r="B213" s="226"/>
      <c r="C213" s="226"/>
      <c r="D213" s="226"/>
      <c r="E213" s="226"/>
      <c r="F213" s="232" t="s">
        <v>531</v>
      </c>
      <c r="G213" s="574">
        <v>126000</v>
      </c>
      <c r="H213" s="219"/>
    </row>
    <row r="214" spans="1:8" ht="20.100000000000001" customHeight="1">
      <c r="A214" s="625" t="s">
        <v>532</v>
      </c>
      <c r="B214" s="219"/>
      <c r="C214" s="219"/>
      <c r="D214" s="219"/>
      <c r="E214" s="219"/>
      <c r="F214" s="232" t="s">
        <v>533</v>
      </c>
      <c r="G214" s="574">
        <v>110000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4380817</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330000</v>
      </c>
      <c r="H219" s="219"/>
    </row>
    <row r="220" spans="1:8" ht="20.100000000000001" customHeight="1">
      <c r="A220" s="625" t="s">
        <v>542</v>
      </c>
      <c r="B220" s="226"/>
      <c r="C220" s="226"/>
      <c r="D220" s="226"/>
      <c r="E220" s="226"/>
      <c r="F220" s="232" t="s">
        <v>543</v>
      </c>
      <c r="G220" s="574">
        <v>1020000</v>
      </c>
      <c r="H220" s="219"/>
    </row>
    <row r="221" spans="1:8" ht="20.100000000000001" customHeight="1">
      <c r="A221" s="625" t="s">
        <v>544</v>
      </c>
      <c r="B221" s="219"/>
      <c r="C221" s="219"/>
      <c r="D221" s="219"/>
      <c r="E221" s="219"/>
      <c r="F221" s="253" t="s">
        <v>545</v>
      </c>
      <c r="G221" s="574">
        <v>901054</v>
      </c>
      <c r="H221" s="219"/>
    </row>
    <row r="222" spans="1:8" ht="20.100000000000001" customHeight="1">
      <c r="A222" s="625" t="s">
        <v>546</v>
      </c>
      <c r="B222" s="226"/>
      <c r="C222" s="226"/>
      <c r="D222" s="226"/>
      <c r="E222" s="226"/>
      <c r="F222" s="232" t="s">
        <v>547</v>
      </c>
      <c r="G222" s="574">
        <v>450000</v>
      </c>
      <c r="H222" s="219"/>
    </row>
    <row r="223" spans="1:8" ht="20.100000000000001" customHeight="1">
      <c r="A223" s="625" t="s">
        <v>548</v>
      </c>
      <c r="B223" s="226"/>
      <c r="C223" s="226"/>
      <c r="D223" s="226"/>
      <c r="E223" s="226"/>
      <c r="F223" s="232" t="s">
        <v>549</v>
      </c>
      <c r="G223" s="574">
        <v>210000</v>
      </c>
      <c r="H223" s="219"/>
    </row>
    <row r="224" spans="1:8" ht="20.100000000000001" customHeight="1">
      <c r="A224" s="626" t="s">
        <v>550</v>
      </c>
      <c r="B224" s="229"/>
      <c r="C224" s="229"/>
      <c r="D224" s="229"/>
      <c r="E224" s="229"/>
      <c r="F224" s="245" t="s">
        <v>551</v>
      </c>
      <c r="G224" s="574">
        <v>320250</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52000</v>
      </c>
      <c r="H232" s="219"/>
    </row>
    <row r="233" spans="1:9" ht="20.100000000000001" customHeight="1">
      <c r="A233" s="639" t="s">
        <v>568</v>
      </c>
      <c r="B233" s="263"/>
      <c r="C233" s="263"/>
      <c r="D233" s="264"/>
      <c r="E233" s="263"/>
      <c r="F233" s="265" t="s">
        <v>569</v>
      </c>
      <c r="G233" s="574">
        <v>1335323</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100000</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8">
        <v>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17203642</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0</v>
      </c>
      <c r="H245" s="219"/>
    </row>
    <row r="246" spans="1:10" ht="20.100000000000001" customHeight="1">
      <c r="A246" s="625" t="s">
        <v>584</v>
      </c>
      <c r="B246" s="226"/>
      <c r="C246" s="226"/>
      <c r="D246" s="226"/>
      <c r="E246" s="226"/>
      <c r="F246" s="232" t="s">
        <v>585</v>
      </c>
      <c r="G246" s="574">
        <v>0</v>
      </c>
      <c r="H246" s="219"/>
    </row>
    <row r="247" spans="1:10" ht="20.100000000000001" customHeight="1">
      <c r="A247" s="626" t="s">
        <v>586</v>
      </c>
      <c r="B247" s="229"/>
      <c r="C247" s="229"/>
      <c r="D247" s="229"/>
      <c r="E247" s="229"/>
      <c r="F247" s="1296" t="s">
        <v>587</v>
      </c>
      <c r="G247" s="574">
        <v>0</v>
      </c>
      <c r="H247" s="662"/>
      <c r="I247" s="222"/>
    </row>
    <row r="248" spans="1:10" ht="20.100000000000001" customHeight="1">
      <c r="A248" s="1310" t="s">
        <v>763</v>
      </c>
      <c r="B248" s="1311"/>
      <c r="C248" s="1311"/>
      <c r="D248" s="1311"/>
      <c r="E248" s="1311"/>
      <c r="F248" s="1339">
        <v>73001</v>
      </c>
      <c r="G248" s="574">
        <v>0</v>
      </c>
      <c r="H248" s="662"/>
      <c r="I248" s="222"/>
    </row>
    <row r="249" spans="1:10" ht="20.100000000000001" customHeight="1">
      <c r="A249" s="1310" t="s">
        <v>764</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731</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1200000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105744</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1305744</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82629819.039999992</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5849370</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5849370</v>
      </c>
      <c r="H274" s="219"/>
    </row>
    <row r="275" spans="1:12" ht="20.100000000000001" customHeight="1">
      <c r="A275" s="627"/>
      <c r="B275" s="226"/>
      <c r="C275" s="226"/>
      <c r="D275" s="226"/>
      <c r="E275" s="226"/>
      <c r="F275" s="270"/>
      <c r="G275" s="269"/>
      <c r="H275" s="219"/>
    </row>
    <row r="276" spans="1:12" ht="20.100000000000001" customHeight="1" thickBot="1">
      <c r="A276" s="640" t="s">
        <v>765</v>
      </c>
      <c r="B276" s="219"/>
      <c r="C276" s="219"/>
      <c r="D276" s="219"/>
      <c r="E276" s="219"/>
      <c r="F276" s="253">
        <v>30800</v>
      </c>
      <c r="G276" s="575">
        <v>-40987904.979999997</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-35138534.979999997</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D21" sqref="D21"/>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Eastern Florida State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755</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f>32278993.67+1471284.69</f>
        <v>33750278.359999999</v>
      </c>
      <c r="C10" s="577">
        <f>1871891.31+23619</f>
        <v>1895510.31</v>
      </c>
      <c r="D10" s="577">
        <v>0</v>
      </c>
      <c r="E10" s="480">
        <f>SUM(B10:D10)</f>
        <v>35645788.670000002</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9500</v>
      </c>
      <c r="D12" s="567">
        <v>0</v>
      </c>
      <c r="E12" s="481">
        <f>SUM(B12:D12)</f>
        <v>9500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f>5859544.12-3586.8</f>
        <v>5855957.3200000003</v>
      </c>
      <c r="C14" s="579">
        <f>462642.02-21270</f>
        <v>441372.02</v>
      </c>
      <c r="D14" s="579">
        <v>0</v>
      </c>
      <c r="E14" s="481">
        <f t="shared" ref="E14:E20" si="0">SUM(B14:D14)</f>
        <v>6297329.3399999999</v>
      </c>
      <c r="F14" s="457"/>
    </row>
    <row r="15" spans="1:8" s="37" customFormat="1" ht="20.100000000000001" customHeight="1">
      <c r="A15" s="479" t="s">
        <v>625</v>
      </c>
      <c r="B15" s="578">
        <v>3586.8</v>
      </c>
      <c r="C15" s="567">
        <v>21270</v>
      </c>
      <c r="D15" s="567">
        <v>0</v>
      </c>
      <c r="E15" s="481">
        <f>SUM(B15:D15)</f>
        <v>24856.799999999999</v>
      </c>
      <c r="F15" s="457"/>
    </row>
    <row r="16" spans="1:8" s="37" customFormat="1" ht="20.100000000000001" customHeight="1">
      <c r="A16" s="479" t="s">
        <v>626</v>
      </c>
      <c r="B16" s="578">
        <v>10304684.43</v>
      </c>
      <c r="C16" s="567">
        <v>648573.09</v>
      </c>
      <c r="D16" s="567">
        <v>0</v>
      </c>
      <c r="E16" s="481">
        <f t="shared" si="0"/>
        <v>10953257.52</v>
      </c>
      <c r="F16" s="457"/>
    </row>
    <row r="17" spans="1:6" s="37" customFormat="1" ht="20.100000000000001" customHeight="1">
      <c r="A17" s="479" t="s">
        <v>627</v>
      </c>
      <c r="B17" s="578">
        <v>10164383.699999999</v>
      </c>
      <c r="C17" s="567">
        <v>4809955.32</v>
      </c>
      <c r="D17" s="567">
        <v>0</v>
      </c>
      <c r="E17" s="481">
        <f t="shared" si="0"/>
        <v>14974339.02</v>
      </c>
      <c r="F17" s="457"/>
    </row>
    <row r="18" spans="1:6" s="37" customFormat="1" ht="20.100000000000001" customHeight="1">
      <c r="A18" s="479" t="s">
        <v>628</v>
      </c>
      <c r="B18" s="578">
        <v>4041542.43</v>
      </c>
      <c r="C18" s="567">
        <v>8302522.5599999996</v>
      </c>
      <c r="D18" s="567">
        <v>5800</v>
      </c>
      <c r="E18" s="481">
        <f t="shared" si="0"/>
        <v>12349864.99</v>
      </c>
      <c r="F18" s="457"/>
    </row>
    <row r="19" spans="1:6" s="37" customFormat="1" ht="20.100000000000001" customHeight="1">
      <c r="A19" s="479" t="s">
        <v>629</v>
      </c>
      <c r="B19" s="578">
        <v>0</v>
      </c>
      <c r="C19" s="567">
        <v>0</v>
      </c>
      <c r="D19" s="567">
        <v>0</v>
      </c>
      <c r="E19" s="481">
        <f t="shared" si="0"/>
        <v>0</v>
      </c>
      <c r="F19" s="457"/>
    </row>
    <row r="20" spans="1:6" s="37" customFormat="1" ht="20.100000000000001" customHeight="1" thickBot="1">
      <c r="A20" s="479" t="s">
        <v>630</v>
      </c>
      <c r="B20" s="578">
        <v>0</v>
      </c>
      <c r="C20" s="568">
        <v>1074938.7</v>
      </c>
      <c r="D20" s="568">
        <v>1299944</v>
      </c>
      <c r="E20" s="481">
        <f t="shared" si="0"/>
        <v>2374882.7000000002</v>
      </c>
      <c r="F20" s="457"/>
    </row>
    <row r="21" spans="1:6" s="37" customFormat="1" ht="24" customHeight="1" thickBot="1">
      <c r="A21" s="377" t="s">
        <v>50</v>
      </c>
      <c r="B21" s="458">
        <f>SUM(B10:B20)</f>
        <v>64120433.039999999</v>
      </c>
      <c r="C21" s="461">
        <f>SUM(C10:C20)</f>
        <v>17203642</v>
      </c>
      <c r="D21" s="461">
        <f>SUM(D10:D20)</f>
        <v>1305744</v>
      </c>
      <c r="E21" s="460">
        <f>SUM(E10:E20)</f>
        <v>82629819.039999992</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election activeCell="F43" sqref="F43"/>
    </sheetView>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2</xdr:col>
                <xdr:colOff>209550</xdr:colOff>
                <xdr:row>52</xdr:row>
                <xdr:rowOff>38100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election activeCell="D16" sqref="D16"/>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Eastern Florida State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755</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737</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1784727</v>
      </c>
      <c r="E15" s="925">
        <v>0</v>
      </c>
      <c r="F15" s="926">
        <f t="shared" si="0"/>
        <v>1784727</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0</v>
      </c>
      <c r="E16" s="925">
        <v>0</v>
      </c>
      <c r="F16" s="926">
        <f t="shared" si="0"/>
        <v>0</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804</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44542</v>
      </c>
      <c r="E25" s="925">
        <v>0</v>
      </c>
      <c r="F25" s="926">
        <f t="shared" si="0"/>
        <v>44542</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92864</v>
      </c>
      <c r="E28" s="925">
        <v>0</v>
      </c>
      <c r="F28" s="926">
        <f t="shared" si="0"/>
        <v>92864</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13160</v>
      </c>
      <c r="E29" s="925">
        <v>0</v>
      </c>
      <c r="F29" s="926">
        <f t="shared" si="0"/>
        <v>13160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0</v>
      </c>
      <c r="E30" s="925">
        <v>0</v>
      </c>
      <c r="F30" s="926">
        <f t="shared" si="0"/>
        <v>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368936</v>
      </c>
      <c r="E34" s="925">
        <v>0</v>
      </c>
      <c r="F34" s="926">
        <f t="shared" si="0"/>
        <v>368936</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176274</v>
      </c>
      <c r="E48" s="925">
        <v>0</v>
      </c>
      <c r="F48" s="926">
        <f t="shared" si="0"/>
        <v>176274</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274434</v>
      </c>
      <c r="E49" s="925">
        <v>0</v>
      </c>
      <c r="F49" s="926">
        <f t="shared" si="0"/>
        <v>274434</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120854</v>
      </c>
      <c r="E54" s="925">
        <v>0</v>
      </c>
      <c r="F54" s="926">
        <f t="shared" si="0"/>
        <v>120854</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2875791</v>
      </c>
      <c r="E57" s="346">
        <f>SUM(E10:E56)</f>
        <v>0</v>
      </c>
      <c r="F57" s="346">
        <f t="shared" si="0"/>
        <v>2875791</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49</v>
      </c>
      <c r="E64" s="580">
        <v>0</v>
      </c>
      <c r="F64" s="304">
        <f t="shared" si="0"/>
        <v>49</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155</v>
      </c>
      <c r="E67" s="925">
        <v>0</v>
      </c>
      <c r="F67" s="926">
        <f t="shared" si="0"/>
        <v>155</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732</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440</v>
      </c>
      <c r="E80" s="925">
        <v>0</v>
      </c>
      <c r="F80" s="926">
        <f t="shared" si="0"/>
        <v>440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12104</v>
      </c>
      <c r="E83" s="925">
        <v>0</v>
      </c>
      <c r="F83" s="926">
        <f t="shared" si="1"/>
        <v>12104</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28369</v>
      </c>
      <c r="E84" s="925">
        <v>0</v>
      </c>
      <c r="F84" s="926">
        <f t="shared" si="1"/>
        <v>28369</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0</v>
      </c>
      <c r="E87" s="925">
        <v>0</v>
      </c>
      <c r="F87" s="926">
        <f t="shared" si="1"/>
        <v>0</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41117</v>
      </c>
      <c r="E103" s="342">
        <f>SUM(E64:E102)</f>
        <v>0</v>
      </c>
      <c r="F103" s="342">
        <f t="shared" si="1"/>
        <v>41117</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763</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764</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731</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2916908</v>
      </c>
      <c r="E123" s="342">
        <f>+E57+E103+E121</f>
        <v>0</v>
      </c>
      <c r="F123" s="342">
        <f>SUM(D123:E123)</f>
        <v>2916908</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2859260</v>
      </c>
      <c r="E128" s="925">
        <v>0</v>
      </c>
      <c r="F128" s="926">
        <f t="shared" ref="F128:F138" si="3">+D128+E128</f>
        <v>2859260</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57648</v>
      </c>
      <c r="E129" s="925">
        <v>0</v>
      </c>
      <c r="F129" s="926">
        <f t="shared" si="3"/>
        <v>57648</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729</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2916908</v>
      </c>
      <c r="E139" s="334">
        <f>SUM(E127:E138)</f>
        <v>0</v>
      </c>
      <c r="F139" s="335">
        <f>SUM(F127:F138)</f>
        <v>2916908</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799</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800</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E8" sqref="E8"/>
    </sheetView>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756</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757</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Administrator</cp:lastModifiedBy>
  <cp:revision/>
  <cp:lastPrinted>2022-06-28T18:59:07Z</cp:lastPrinted>
  <dcterms:created xsi:type="dcterms:W3CDTF">2005-03-22T15:46:43Z</dcterms:created>
  <dcterms:modified xsi:type="dcterms:W3CDTF">2022-08-18T17:44:48Z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