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2-2023 Operating Budget\Received from Colleges\Daytona\"/>
    </mc:Choice>
  </mc:AlternateContent>
  <bookViews>
    <workbookView xWindow="0" yWindow="0" windowWidth="23640" windowHeight="12285" tabRatio="769" firstSheet="2" activeTab="3"/>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 r:id="rId17"/>
    <externalReference r:id="rId18"/>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72" i="7" l="1"/>
  <c r="G221" i="7"/>
  <c r="G111" i="7" l="1"/>
  <c r="G48" i="7"/>
  <c r="G47" i="7"/>
  <c r="G251" i="7" l="1"/>
  <c r="G246" i="7"/>
  <c r="G244" i="7"/>
  <c r="G238" i="7"/>
  <c r="G236" i="7"/>
  <c r="G229" i="7"/>
  <c r="G228" i="7"/>
  <c r="G225" i="7"/>
  <c r="G224" i="7"/>
  <c r="G223" i="7"/>
  <c r="G222" i="7"/>
  <c r="G220" i="7"/>
  <c r="G219" i="7"/>
  <c r="G216" i="7"/>
  <c r="G214" i="7"/>
  <c r="G213" i="7"/>
  <c r="G212" i="7"/>
  <c r="G211" i="7"/>
  <c r="G210" i="7"/>
  <c r="G209" i="7"/>
  <c r="G126" i="7" l="1"/>
  <c r="G68" i="7"/>
  <c r="G59" i="7"/>
  <c r="D14" i="6" l="1"/>
  <c r="D13" i="6"/>
  <c r="D12" i="6"/>
  <c r="D11" i="6"/>
  <c r="D10" i="6"/>
  <c r="B34" i="23" l="1"/>
  <c r="B33" i="23"/>
  <c r="B11" i="23"/>
  <c r="B9" i="23"/>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H13" i="6" s="1"/>
  <c r="G15" i="7" s="1"/>
  <c r="G14" i="6"/>
  <c r="G15" i="6"/>
  <c r="F32" i="6"/>
  <c r="G32" i="6"/>
  <c r="F33" i="6"/>
  <c r="G33" i="6"/>
  <c r="F34" i="6"/>
  <c r="G34" i="6"/>
  <c r="F35" i="6"/>
  <c r="G35" i="6"/>
  <c r="B34" i="5"/>
  <c r="E39" i="6" s="1"/>
  <c r="F39" i="6" s="1"/>
  <c r="B35" i="5"/>
  <c r="E40" i="6" s="1"/>
  <c r="F40" i="6" s="1"/>
  <c r="G38" i="7" s="1"/>
  <c r="B37" i="5"/>
  <c r="E41" i="6" s="1"/>
  <c r="F41" i="6" s="1"/>
  <c r="G39" i="7" s="1"/>
  <c r="B38" i="5"/>
  <c r="E42" i="6" s="1"/>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s="1"/>
  <c r="D59" i="22"/>
  <c r="D60" i="22" s="1"/>
  <c r="B52" i="22"/>
  <c r="E33" i="22"/>
  <c r="E34" i="22" s="1"/>
  <c r="D33" i="22"/>
  <c r="D34" i="22" s="1"/>
  <c r="D26" i="22"/>
  <c r="D38" i="22"/>
  <c r="C38" i="22"/>
  <c r="E15" i="22"/>
  <c r="D15" i="22"/>
  <c r="B46" i="22"/>
  <c r="E26" i="22"/>
  <c r="E59" i="22"/>
  <c r="E60" i="22" s="1"/>
  <c r="E38" i="22"/>
  <c r="B29" i="5"/>
  <c r="C29" i="5" s="1"/>
  <c r="E19" i="6" s="1"/>
  <c r="F19" i="6" s="1"/>
  <c r="G21" i="7" s="1"/>
  <c r="G14" i="5"/>
  <c r="H14" i="5" s="1"/>
  <c r="G258" i="7"/>
  <c r="E15" i="8"/>
  <c r="E36" i="6"/>
  <c r="D36" i="6"/>
  <c r="D43" i="6"/>
  <c r="D26" i="6"/>
  <c r="E17" i="6"/>
  <c r="G20" i="5"/>
  <c r="H20" i="5" s="1"/>
  <c r="G19" i="5"/>
  <c r="H19" i="5" s="1"/>
  <c r="G22" i="5"/>
  <c r="H22" i="5" s="1"/>
  <c r="G23" i="5"/>
  <c r="H23" i="5" s="1"/>
  <c r="E20" i="12"/>
  <c r="E29" i="12"/>
  <c r="G196" i="7"/>
  <c r="D21" i="8"/>
  <c r="E68" i="3"/>
  <c r="C94" i="12"/>
  <c r="B31" i="5"/>
  <c r="B30" i="5"/>
  <c r="G16" i="5"/>
  <c r="H16" i="5" s="1"/>
  <c r="G15" i="5"/>
  <c r="H15" i="5" s="1"/>
  <c r="D96" i="8"/>
  <c r="C96" i="8"/>
  <c r="B69" i="6"/>
  <c r="C92" i="3" s="1"/>
  <c r="E69" i="3"/>
  <c r="E70" i="3"/>
  <c r="E71" i="3"/>
  <c r="E72" i="3"/>
  <c r="E73" i="3"/>
  <c r="B21" i="8"/>
  <c r="C21" i="8"/>
  <c r="E10" i="8"/>
  <c r="E12" i="8"/>
  <c r="E16" i="8"/>
  <c r="E17" i="8"/>
  <c r="E18" i="8"/>
  <c r="E19" i="8"/>
  <c r="E20" i="8"/>
  <c r="E36" i="4"/>
  <c r="C127" i="3" s="1"/>
  <c r="D33" i="4"/>
  <c r="B60" i="6"/>
  <c r="C96" i="3" s="1"/>
  <c r="E26" i="4"/>
  <c r="E16" i="4"/>
  <c r="G274" i="7"/>
  <c r="G278" i="7" s="1"/>
  <c r="C120" i="3" s="1"/>
  <c r="E14" i="8"/>
  <c r="G240" i="7"/>
  <c r="X147" i="23"/>
  <c r="H34" i="5"/>
  <c r="I34" i="5" s="1"/>
  <c r="D17" i="6"/>
  <c r="F12" i="6"/>
  <c r="H12" i="6" s="1"/>
  <c r="G14" i="7" s="1"/>
  <c r="F11" i="6"/>
  <c r="F14" i="6"/>
  <c r="H14" i="6" s="1"/>
  <c r="G16" i="7" s="1"/>
  <c r="F15" i="6"/>
  <c r="E49" i="3" s="1"/>
  <c r="F10" i="6"/>
  <c r="E44" i="3" s="1"/>
  <c r="E47" i="3"/>
  <c r="C31" i="5" l="1"/>
  <c r="E22" i="6" s="1"/>
  <c r="F22" i="6" s="1"/>
  <c r="G24" i="7" s="1"/>
  <c r="C30" i="5"/>
  <c r="C111" i="3"/>
  <c r="H35" i="6"/>
  <c r="G33" i="7" s="1"/>
  <c r="H11" i="6"/>
  <c r="G13" i="7" s="1"/>
  <c r="H38" i="5"/>
  <c r="I38" i="5" s="1"/>
  <c r="H37" i="5"/>
  <c r="I37" i="5" s="1"/>
  <c r="E46" i="3"/>
  <c r="E45" i="3"/>
  <c r="D66" i="22"/>
  <c r="D69" i="22" s="1"/>
  <c r="E61" i="22"/>
  <c r="H34" i="6"/>
  <c r="G32" i="7" s="1"/>
  <c r="H32" i="6"/>
  <c r="G30" i="7" s="1"/>
  <c r="E30" i="12"/>
  <c r="H15" i="6"/>
  <c r="G17" i="7" s="1"/>
  <c r="H35" i="5"/>
  <c r="I35" i="5" s="1"/>
  <c r="H10" i="6"/>
  <c r="E67" i="22"/>
  <c r="E69" i="22" s="1"/>
  <c r="C113" i="3"/>
  <c r="C93" i="3"/>
  <c r="F36" i="6"/>
  <c r="H33" i="6"/>
  <c r="G31" i="7" s="1"/>
  <c r="F43" i="6"/>
  <c r="G37" i="7"/>
  <c r="G42" i="7" s="1"/>
  <c r="E74" i="3"/>
  <c r="D62" i="22"/>
  <c r="H29" i="5"/>
  <c r="I29" i="5" s="1"/>
  <c r="E48" i="3"/>
  <c r="F17" i="6"/>
  <c r="E50" i="3" s="1"/>
  <c r="B70" i="6"/>
  <c r="E62" i="22"/>
  <c r="D61" i="22"/>
  <c r="C95" i="3"/>
  <c r="E21" i="8"/>
  <c r="G75" i="7"/>
  <c r="G85" i="7" s="1"/>
  <c r="D106" i="3"/>
  <c r="F121" i="15"/>
  <c r="G260" i="7"/>
  <c r="E25" i="4" s="1"/>
  <c r="E28" i="4" s="1"/>
  <c r="T119" i="23"/>
  <c r="C112" i="3"/>
  <c r="C121" i="3"/>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D73" i="3"/>
  <c r="F73" i="3" s="1"/>
  <c r="G73" i="3" s="1"/>
  <c r="D147" i="23"/>
  <c r="P147" i="23"/>
  <c r="D69" i="3"/>
  <c r="D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E23" i="6" l="1"/>
  <c r="F23" i="6" s="1"/>
  <c r="G25" i="7" s="1"/>
  <c r="E24" i="6"/>
  <c r="F24" i="6" s="1"/>
  <c r="G26" i="7" s="1"/>
  <c r="E20" i="6"/>
  <c r="F20" i="6" s="1"/>
  <c r="E21" i="6"/>
  <c r="F21" i="6" s="1"/>
  <c r="G23" i="7" s="1"/>
  <c r="H30" i="5"/>
  <c r="I30" i="5" s="1"/>
  <c r="H31" i="5"/>
  <c r="I31" i="5" s="1"/>
  <c r="E68" i="22"/>
  <c r="F45" i="3"/>
  <c r="G45" i="3" s="1"/>
  <c r="F48" i="3"/>
  <c r="G48" i="3" s="1"/>
  <c r="G35" i="7"/>
  <c r="H17" i="6"/>
  <c r="D70" i="22"/>
  <c r="D68" i="22"/>
  <c r="E70" i="22"/>
  <c r="H36" i="6"/>
  <c r="H44" i="6" s="1"/>
  <c r="D128" i="15"/>
  <c r="D139" i="15" s="1"/>
  <c r="D141" i="15" s="1"/>
  <c r="G12" i="7"/>
  <c r="G19" i="7" s="1"/>
  <c r="E102" i="3"/>
  <c r="E106" i="3" s="1"/>
  <c r="F123" i="15"/>
  <c r="C114" i="3"/>
  <c r="C139" i="3"/>
  <c r="F129" i="15"/>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G22" i="7" l="1"/>
  <c r="G28" i="7" s="1"/>
  <c r="G44" i="7" s="1"/>
  <c r="G63" i="7" s="1"/>
  <c r="G144" i="7" s="1"/>
  <c r="F26" i="6"/>
  <c r="H27" i="6" s="1"/>
  <c r="H46" i="6" s="1"/>
  <c r="C144" i="3"/>
  <c r="F128" i="15"/>
  <c r="F139" i="15" s="1"/>
  <c r="C137" i="3"/>
  <c r="F102" i="3"/>
  <c r="F106" i="3" s="1"/>
  <c r="E18" i="4" l="1"/>
  <c r="E21" i="4" s="1"/>
  <c r="E23" i="4" s="1"/>
  <c r="E44" i="4" s="1"/>
  <c r="C17" i="3" s="1"/>
  <c r="C34" i="3"/>
  <c r="C153" i="3"/>
  <c r="F141" i="15"/>
  <c r="D32" i="4" l="1"/>
  <c r="E35" i="4" s="1"/>
  <c r="E38" i="4" s="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6"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5"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8"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8"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8"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8"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8"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8"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8"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8"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8"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8"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8"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8"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8"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8" authorId="0" shapeId="0">
      <text>
        <r>
          <rPr>
            <b/>
            <sz val="9"/>
            <color indexed="81"/>
            <rFont val="Tahoma"/>
            <family val="2"/>
          </rPr>
          <t>Nieto, Eve:</t>
        </r>
        <r>
          <rPr>
            <sz val="9"/>
            <color indexed="81"/>
            <rFont val="Tahoma"/>
            <family val="2"/>
          </rPr>
          <t xml:space="preserve">
Formulas in place.
 Complete columns AE and AF first. </t>
        </r>
      </text>
    </comment>
    <comment ref="AA118"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8"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20"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21"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4"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tc={A1282D56-5CA8-435A-9D9C-C8651CDBAB27}</author>
  </authors>
  <commentList>
    <comment ref="D10"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Rev Inst Cr Hrs + Non-Res Cr Hrs + Gibson WC Waivers</t>
        </r>
      </text>
    </comment>
  </commentList>
</comments>
</file>

<file path=xl/comments4.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5.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6.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9"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7.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<sst xmlns="http://schemas.openxmlformats.org/spreadsheetml/2006/main" count="1334" uniqueCount="809">
  <si>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</si>
  <si>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</si>
  <si>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</si>
  <si>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</si>
  <si>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</si>
  <si>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</si>
  <si>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</si>
  <si>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</si>
  <si>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</si>
  <si>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</si>
  <si>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</si>
  <si>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</si>
  <si>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</si>
  <si>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</si>
  <si>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</si>
  <si>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</si>
  <si>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</si>
  <si>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</si>
  <si>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</si>
  <si>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</si>
  <si>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</si>
  <si>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</si>
  <si>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</si>
  <si>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</si>
  <si>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</si>
  <si>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</si>
  <si>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</si>
  <si>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</si>
  <si>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</si>
  <si>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</si>
  <si>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</si>
  <si>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</si>
  <si>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</si>
  <si>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</si>
  <si>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</si>
  <si>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</si>
  <si>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</si>
  <si>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</si>
  <si>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</si>
  <si>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</si>
  <si>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</si>
  <si>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</si>
  <si>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</si>
  <si>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</si>
  <si>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</si>
  <si>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</si>
  <si>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</si>
  <si>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</si>
  <si>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</si>
  <si>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</si>
  <si>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</si>
  <si>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</si>
  <si>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</si>
  <si>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</si>
  <si>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</si>
  <si>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</si>
  <si>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</si>
  <si>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</si>
  <si>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</si>
  <si>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</si>
  <si>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</si>
  <si>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</si>
  <si>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</si>
  <si>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</si>
  <si>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</si>
  <si>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</si>
  <si>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</si>
  <si>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</si>
  <si>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</si>
  <si>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</si>
  <si>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</si>
  <si>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</si>
  <si>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</si>
  <si>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</si>
  <si>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</si>
  <si>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</si>
  <si>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</si>
  <si>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</si>
  <si>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</si>
  <si>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</si>
  <si>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</si>
  <si>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</si>
  <si>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</si>
  <si>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</si>
  <si>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</si>
  <si>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</si>
  <si>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</si>
  <si>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</si>
  <si>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</si>
  <si>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</si>
  <si>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</si>
  <si>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</si>
  <si>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</si>
  <si>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</si>
  <si>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</si>
  <si>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</si>
  <si>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</si>
  <si>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</si>
  <si>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</si>
  <si>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</si>
  <si>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</si>
  <si>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</si>
  <si>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</si>
  <si>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</si>
  <si>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</si>
  <si>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</si>
  <si>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</si>
  <si>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</si>
  <si>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</si>
  <si>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</si>
  <si>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</si>
  <si>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</si>
  <si>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</si>
  <si>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</si>
  <si>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</si>
  <si>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</si>
  <si>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</si>
  <si>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</si>
  <si>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</si>
  <si>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</si>
  <si>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</si>
  <si>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</si>
  <si>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</si>
  <si>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</si>
  <si>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</si>
  <si>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</si>
  <si>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</si>
  <si>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</si>
  <si>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</si>
  <si>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</si>
  <si>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</si>
  <si>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</si>
  <si>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</si>
  <si>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</si>
  <si>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</si>
  <si>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</si>
  <si>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</si>
  <si>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</si>
  <si>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</si>
  <si>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</si>
  <si>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</si>
  <si>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</si>
  <si>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</si>
  <si>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</si>
  <si>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</si>
  <si>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</si>
  <si>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</si>
  <si>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</si>
  <si>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</si>
  <si>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</si>
  <si>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</si>
  <si>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</si>
  <si>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</si>
  <si>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</si>
  <si>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</si>
  <si>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</si>
  <si>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</si>
  <si>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</si>
  <si>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</si>
  <si>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</si>
  <si>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</si>
  <si>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</si>
  <si>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</si>
  <si>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</si>
  <si>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</si>
  <si>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</si>
  <si>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</si>
  <si>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</si>
  <si>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</si>
  <si>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</si>
  <si>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</si>
  <si>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</si>
  <si>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</si>
  <si>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</si>
  <si>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</si>
  <si>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</si>
  <si>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</si>
  <si>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</si>
  <si>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</si>
  <si>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</si>
  <si>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</si>
  <si>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</si>
  <si>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</si>
  <si>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</si>
  <si>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</si>
  <si>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</si>
  <si>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</si>
  <si>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</si>
  <si>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</si>
  <si>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</si>
  <si>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</si>
  <si>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</si>
  <si>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</si>
  <si>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</si>
  <si>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</si>
  <si>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</si>
  <si>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</si>
  <si>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</si>
  <si>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</si>
  <si>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</si>
  <si>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</si>
  <si>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</si>
  <si>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</si>
  <si>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</si>
  <si>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</si>
  <si>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</si>
  <si>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</si>
  <si>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</si>
  <si>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</si>
  <si>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</si>
  <si>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</si>
  <si>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</si>
  <si>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</si>
  <si>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</si>
  <si>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</si>
  <si>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</si>
  <si>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</si>
  <si>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</si>
  <si>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</si>
  <si>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</si>
  <si>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</si>
  <si>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</si>
  <si>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</si>
  <si>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</si>
  <si>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</si>
  <si>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</si>
  <si>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</si>
  <si>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</si>
  <si>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</si>
  <si>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</si>
  <si>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</si>
  <si>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</si>
  <si>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</si>
  <si>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</si>
  <si>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</si>
  <si>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</si>
  <si>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</si>
  <si>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</si>
  <si>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</si>
  <si>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</si>
  <si>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</si>
  <si>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</si>
  <si>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</si>
  <si>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</si>
  <si>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</si>
  <si>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</si>
  <si>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</si>
  <si>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</si>
  <si>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</si>
  <si>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</si>
  <si>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</si>
  <si>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</si>
  <si>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</si>
  <si>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</si>
  <si>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</si>
  <si>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</si>
  <si>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</si>
  <si>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</si>
  <si>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</si>
  <si>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</si>
  <si>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</si>
  <si>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</si>
  <si>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</si>
  <si>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</si>
  <si>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</si>
  <si>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</si>
  <si>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</si>
  <si>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</si>
  <si>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</si>
  <si>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</si>
  <si>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</si>
  <si>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</si>
  <si>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</si>
  <si>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</si>
  <si>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</si>
  <si>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</si>
  <si>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</si>
  <si>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</si>
  <si>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</si>
  <si>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</si>
  <si>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</si>
  <si>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</si>
  <si>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</si>
  <si>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</si>
  <si>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</si>
  <si>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</si>
  <si>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</si>
  <si>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</si>
  <si>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</si>
  <si>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</si>
  <si>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</si>
  <si>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</si>
  <si>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</si>
  <si>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</si>
  <si>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</si>
  <si>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</si>
  <si>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</si>
  <si>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</si>
  <si>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</si>
  <si>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</si>
  <si>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</si>
  <si>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</si>
  <si>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</si>
  <si>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</si>
  <si>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</si>
  <si>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</si>
  <si>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</si>
  <si>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</si>
  <si>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</si>
  <si>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</si>
  <si>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</si>
  <si>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</si>
  <si>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</si>
  <si>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</si>
  <si>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</si>
  <si>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</si>
  <si>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</si>
  <si>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</si>
  <si>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</si>
  <si>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</si>
  <si>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</si>
  <si>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</si>
  <si>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</si>
  <si>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</si>
  <si>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</si>
  <si>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</si>
  <si>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</si>
  <si>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</si>
  <si>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</si>
  <si>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</si>
  <si>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</si>
  <si>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</si>
  <si>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</si>
  <si>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</si>
  <si>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</si>
  <si>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</si>
  <si>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</si>
  <si>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</si>
  <si>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</si>
  <si>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</si>
  <si>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</si>
  <si>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</si>
  <si>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</si>
  <si>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</si>
  <si>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</si>
  <si>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</si>
  <si>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</si>
  <si>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</si>
  <si>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</si>
  <si>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</si>
  <si>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</si>
  <si>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</si>
  <si>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</si>
  <si>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</si>
  <si>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</si>
  <si>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</si>
  <si>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</si>
  <si>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</si>
  <si>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</si>
  <si>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</si>
  <si>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</si>
  <si>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</si>
  <si>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</si>
  <si>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</si>
  <si>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</si>
  <si>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</si>
  <si>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</si>
  <si>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</si>
  <si>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</si>
  <si>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</si>
  <si>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</si>
  <si>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</si>
  <si>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</si>
  <si>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</si>
  <si>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</si>
  <si>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</si>
  <si>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</si>
  <si>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</si>
  <si>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</si>
  <si>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</si>
  <si>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</si>
  <si>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</si>
  <si>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</si>
  <si>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</si>
  <si>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</si>
  <si>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</si>
  <si>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</si>
  <si>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</si>
  <si>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</si>
  <si>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</si>
  <si>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</si>
  <si>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</si>
  <si>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</si>
  <si>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</si>
  <si>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</si>
  <si>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</si>
  <si>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</si>
  <si>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</si>
  <si>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</si>
  <si>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</si>
  <si>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</si>
  <si>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</si>
  <si>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</si>
  <si>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</si>
  <si>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</si>
  <si>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</si>
  <si>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</si>
  <si>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</si>
  <si>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</si>
  <si>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</si>
  <si>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</si>
  <si>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</si>
  <si>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</si>
  <si>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</si>
  <si>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</si>
  <si>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</si>
  <si>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</si>
  <si>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</si>
  <si>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</si>
  <si>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</si>
  <si>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</si>
  <si>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</si>
  <si>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</si>
  <si>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</si>
  <si>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</si>
  <si>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</si>
  <si>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</si>
  <si>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</si>
  <si>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</si>
  <si>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</si>
  <si>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</si>
  <si>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</si>
  <si>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</si>
  <si>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</si>
  <si>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</si>
  <si>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</si>
  <si>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</si>
  <si>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</si>
  <si>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</si>
  <si>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</si>
  <si>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</si>
  <si>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</si>
  <si>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</si>
  <si>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</si>
  <si>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</si>
  <si>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</si>
  <si>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</si>
  <si>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</si>
  <si>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</si>
  <si>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</si>
  <si>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</si>
  <si>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</si>
  <si>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</si>
  <si>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</si>
  <si>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</si>
  <si>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</si>
  <si>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</si>
  <si>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</si>
  <si>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</si>
  <si>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</si>
  <si>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</si>
  <si>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</si>
  <si>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</si>
  <si>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</si>
  <si>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</si>
  <si>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</si>
  <si>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</si>
  <si>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</si>
  <si>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</si>
  <si>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</si>
  <si>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</si>
  <si>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</si>
  <si>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</si>
  <si>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</si>
  <si>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</si>
  <si>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</si>
  <si>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</si>
  <si>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</si>
  <si>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</si>
  <si>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</si>
  <si>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</si>
  <si>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</si>
  <si>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</si>
  <si>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</si>
  <si>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</si>
  <si>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</si>
  <si>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</si>
  <si>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</si>
  <si>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</si>
  <si>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</si>
  <si>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</si>
  <si>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</si>
  <si>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</si>
  <si>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</si>
  <si>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</si>
  <si>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</si>
  <si>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</si>
  <si>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</si>
  <si>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</si>
  <si>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</si>
  <si>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</si>
  <si>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</si>
  <si>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</si>
  <si>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</si>
  <si>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</si>
  <si>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</si>
  <si>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</si>
  <si>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</si>
  <si>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</si>
  <si>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</si>
  <si>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</si>
  <si>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</si>
  <si>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</si>
  <si>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</si>
  <si>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</si>
  <si>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</si>
  <si>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</si>
  <si>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</si>
  <si>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</si>
  <si>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</si>
  <si>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</si>
  <si>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</si>
  <si>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</si>
  <si>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</si>
  <si>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</si>
  <si>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</si>
  <si>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</si>
  <si>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</si>
  <si>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</si>
  <si>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</si>
  <si>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</si>
  <si>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</si>
  <si>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</si>
  <si>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</si>
  <si>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</si>
  <si>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</si>
  <si>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</si>
  <si>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</si>
  <si>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</si>
  <si>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</si>
  <si>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</si>
  <si>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</si>
  <si>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</si>
  <si>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</si>
  <si>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</si>
  <si>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</si>
  <si>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</si>
  <si>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</si>
  <si>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</si>
  <si>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</si>
  <si>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</si>
  <si>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</si>
  <si>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</si>
  <si>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</si>
  <si>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</si>
  <si>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</si>
  <si>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</si>
  <si>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</si>
  <si>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</si>
  <si>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</si>
  <si>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</si>
  <si>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</si>
  <si>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</si>
  <si>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</si>
  <si>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</si>
  <si>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</si>
  <si>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</si>
  <si>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</si>
  <si>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</si>
  <si>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</si>
  <si>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</si>
  <si>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</si>
  <si>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</si>
  <si>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</si>
  <si>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</si>
  <si>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</si>
  <si>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</si>
  <si>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</si>
  <si>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</si>
  <si>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</si>
  <si>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</si>
  <si>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</si>
  <si>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</si>
  <si>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</si>
  <si>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</si>
  <si>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</si>
  <si>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</si>
  <si>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</si>
  <si>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</si>
  <si>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</si>
  <si>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</si>
  <si>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</si>
  <si>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</si>
  <si>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</si>
  <si>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</si>
  <si>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</si>
  <si>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</si>
  <si>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</si>
  <si>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</si>
  <si>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</si>
  <si>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</si>
  <si>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</si>
  <si>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</si>
  <si>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</si>
  <si>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</si>
  <si>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</si>
  <si>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</si>
  <si>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</si>
  <si>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</si>
  <si>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</si>
  <si>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</si>
  <si>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</si>
  <si>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</si>
  <si>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</si>
  <si>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</si>
  <si>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</si>
  <si>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</si>
  <si>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</si>
  <si>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</si>
  <si>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</si>
  <si>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</si>
  <si>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</si>
  <si>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</si>
  <si>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</si>
  <si>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</si>
  <si>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</si>
  <si>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</si>
  <si>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</si>
  <si>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</si>
  <si>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</si>
  <si>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</si>
  <si>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</si>
  <si>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</si>
  <si>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</si>
  <si>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</si>
  <si>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</si>
  <si>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</si>
  <si>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</si>
  <si>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</si>
  <si>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</si>
  <si>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</si>
  <si>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</si>
  <si>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</si>
  <si>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</si>
  <si>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</si>
  <si>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</si>
  <si>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</si>
  <si>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</si>
  <si>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</si>
  <si>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</si>
  <si>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</si>
  <si>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</si>
  <si>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</si>
  <si>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</si>
  <si>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</si>
  <si>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</si>
  <si>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</si>
  <si>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</si>
  <si>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</si>
  <si>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</si>
  <si>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</si>
  <si>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</si>
  <si>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</si>
  <si>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</si>
  <si>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</si>
  <si>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</si>
  <si>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</si>
  <si>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</si>
  <si>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</si>
  <si>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</si>
  <si>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</si>
  <si>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</si>
  <si>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</si>
  <si>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</si>
  <si>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</si>
  <si>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</si>
  <si>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</si>
  <si>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</si>
  <si>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</si>
  <si>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</si>
  <si>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</si>
  <si>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</si>
  <si>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</si>
  <si>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</si>
  <si>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</si>
  <si>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</si>
  <si>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</si>
  <si>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</si>
  <si>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</si>
  <si>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</si>
  <si>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</si>
  <si>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</si>
  <si>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</si>
  <si>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</si>
  <si>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</si>
  <si>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</si>
  <si>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</si>
  <si>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</si>
  <si>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</si>
  <si>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</si>
  <si>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</si>
  <si>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</si>
  <si>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</si>
  <si>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</si>
  <si>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</si>
  <si>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</si>
  <si>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</si>
  <si>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</si>
  <si>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</si>
  <si>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</si>
  <si>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</si>
  <si>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</si>
  <si>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</si>
  <si>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</si>
  <si>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</si>
  <si>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</si>
  <si>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</si>
  <si>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</si>
  <si>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</si>
  <si>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</si>
  <si>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</si>
  <si>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</si>
  <si>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</si>
  <si>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</si>
  <si>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</si>
  <si>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</si>
  <si>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</si>
  <si>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</si>
  <si>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</si>
  <si>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</si>
  <si>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</si>
  <si>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</si>
  <si>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</si>
  <si>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</si>
  <si>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</si>
  <si>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</si>
  <si>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</si>
  <si>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</si>
  <si>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</si>
  <si>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</si>
  <si>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</si>
  <si>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</si>
  <si>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</si>
  <si>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</si>
  <si>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</si>
  <si>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</si>
  <si>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</si>
  <si>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</si>
  <si>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</si>
  <si>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</si>
  <si>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</si>
  <si>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</si>
  <si>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</si>
  <si>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</si>
  <si>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</si>
  <si>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</si>
  <si>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</si>
  <si>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</si>
  <si>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</si>
  <si>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</si>
  <si>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</si>
  <si>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</si>
  <si>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</si>
  <si>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</si>
  <si>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</si>
  <si>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</si>
  <si>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</si>
  <si>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</si>
  <si>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</si>
  <si>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</si>
  <si>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</si>
  <si>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</si>
  <si>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</si>
  <si>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</si>
  <si>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</si>
  <si>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</si>
  <si>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</si>
  <si>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</si>
  <si>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</si>
  <si>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</si>
  <si>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</si>
  <si>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</si>
  <si>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</si>
  <si>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</si>
  <si>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</si>
  <si>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</si>
  <si>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</si>
  <si>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</si>
  <si>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</si>
  <si>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</si>
  <si>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</si>
  <si>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</si>
  <si>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</si>
  <si>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</si>
  <si>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</si>
  <si>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</si>
  <si>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</si>
  <si>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</si>
  <si>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</si>
  <si>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</si>
  <si>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</si>
  <si>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</si>
  <si>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</si>
  <si>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</si>
  <si>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</si>
  <si>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Date Updated:   06.03.22    BY:  EN</t>
  </si>
  <si>
    <t>Updated: 6.3.22 EN</t>
  </si>
  <si>
    <t>Marketing/Hospitality</t>
  </si>
  <si>
    <t>Explanation in Transmittal 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</si>
</sst>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79" fillId="32" borderId="303" xfId="0" applyNumberFormat="1" applyFont="1" applyFill="1" applyBorder="1" applyAlignment="1" applyProtection="1">
      <alignment horizontal="right"/>
    </xf>
    <xf numFmtId="37" fontId="179" fillId="32" borderId="304" xfId="0" applyNumberFormat="1" applyFont="1" applyFill="1" applyBorder="1" applyAlignment="1" applyProtection="1">
      <alignment horizontal="right"/>
    </xf>
    <xf numFmtId="37" fontId="180" fillId="0" borderId="307" xfId="0" applyNumberFormat="1" applyFont="1" applyFill="1" applyBorder="1" applyProtection="1"/>
    <xf numFmtId="37" fontId="180" fillId="0" borderId="308" xfId="0" applyNumberFormat="1" applyFont="1" applyFill="1" applyBorder="1" applyProtection="1"/>
    <xf numFmtId="172" fontId="180" fillId="0" borderId="303" xfId="0" applyNumberFormat="1" applyFont="1" applyFill="1" applyBorder="1" applyAlignment="1" applyProtection="1">
      <alignment horizontal="center"/>
    </xf>
    <xf numFmtId="37" fontId="180" fillId="0" borderId="309" xfId="0" applyNumberFormat="1" applyFont="1" applyFill="1" applyBorder="1" applyProtection="1"/>
    <xf numFmtId="37" fontId="180" fillId="0" borderId="310" xfId="0" applyNumberFormat="1" applyFont="1" applyFill="1" applyBorder="1" applyProtection="1"/>
    <xf numFmtId="172" fontId="180" fillId="0" borderId="304" xfId="0" applyNumberFormat="1" applyFont="1" applyFill="1" applyBorder="1" applyAlignment="1" applyProtection="1">
      <alignment horizontal="center"/>
    </xf>
    <xf numFmtId="37" fontId="181" fillId="0" borderId="172"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1"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Budget%20Office\Budget%20FY2223\Tuition%20&amp;%20Fees\SPOL%20Extract%206.6.22%20%20REVENU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Budget%20Office\Budget%20FY2223\SPOL%20Curr_Cap\Curr_Cap_Final_6.7.22%20(LO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_Pivot"/>
      <sheetName val="Revenue"/>
      <sheetName val="Rev_Pivot for completing Exh D"/>
    </sheetNames>
    <sheetDataSet>
      <sheetData sheetId="0" refreshError="1"/>
      <sheetData sheetId="1" refreshError="1"/>
      <sheetData sheetId="2" refreshError="1">
        <row r="16">
          <cell r="C16">
            <v>-233500</v>
          </cell>
        </row>
        <row r="18">
          <cell r="C18">
            <v>-215534</v>
          </cell>
        </row>
        <row r="58">
          <cell r="C58">
            <v>-63000</v>
          </cell>
        </row>
        <row r="59">
          <cell r="C59">
            <v>-34000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_CapFY23"/>
      <sheetName val="Load"/>
      <sheetName val="Pivot Exhibit D"/>
      <sheetName val="Pivot Exhibit D Capital"/>
      <sheetName val="Load State  Exhibit D"/>
      <sheetName val="Personnel_Curr_Cap State Exh E"/>
      <sheetName val="Baccalaureate Programs"/>
    </sheetNames>
    <sheetDataSet>
      <sheetData sheetId="0" refreshError="1"/>
      <sheetData sheetId="1" refreshError="1"/>
      <sheetData sheetId="2" refreshError="1">
        <row r="48">
          <cell r="C48">
            <v>318500</v>
          </cell>
        </row>
        <row r="49">
          <cell r="C49">
            <v>577067</v>
          </cell>
        </row>
        <row r="50">
          <cell r="C50">
            <v>2437478</v>
          </cell>
        </row>
        <row r="51">
          <cell r="C51">
            <v>153500</v>
          </cell>
        </row>
        <row r="52">
          <cell r="C52">
            <v>89000</v>
          </cell>
        </row>
        <row r="53">
          <cell r="C53">
            <v>13200</v>
          </cell>
        </row>
        <row r="68">
          <cell r="C68">
            <v>3371994.5411</v>
          </cell>
        </row>
        <row r="76">
          <cell r="C76">
            <v>674532</v>
          </cell>
        </row>
        <row r="82">
          <cell r="C82">
            <v>1351931.7200000002</v>
          </cell>
        </row>
        <row r="83">
          <cell r="C83">
            <v>3500</v>
          </cell>
        </row>
        <row r="87">
          <cell r="C87">
            <v>2376997.5</v>
          </cell>
        </row>
        <row r="93">
          <cell r="C93">
            <v>279477</v>
          </cell>
        </row>
        <row r="100">
          <cell r="C100">
            <v>423402.2</v>
          </cell>
        </row>
        <row r="107">
          <cell r="C107">
            <v>129031</v>
          </cell>
        </row>
        <row r="110">
          <cell r="C110">
            <v>61979</v>
          </cell>
        </row>
        <row r="112">
          <cell r="C112">
            <v>746500</v>
          </cell>
        </row>
        <row r="114">
          <cell r="C114">
            <v>26100</v>
          </cell>
        </row>
        <row r="127">
          <cell r="C127">
            <v>457200</v>
          </cell>
        </row>
        <row r="129">
          <cell r="C129">
            <v>821318</v>
          </cell>
        </row>
      </sheetData>
      <sheetData sheetId="3" refreshError="1">
        <row r="6">
          <cell r="C6">
            <v>1061961</v>
          </cell>
        </row>
        <row r="8">
          <cell r="C8">
            <v>315500</v>
          </cell>
        </row>
        <row r="10">
          <cell r="C10">
            <v>136000</v>
          </cell>
        </row>
      </sheetData>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 displayName="James Zablosky" id="{CD4AB775-DAAC-498B-9840-D3D4EC66021F}" userId="S::james_zablosky@daytonastate.edu::e51dd406-1bb6-4f31-8b60-1e05d8a87e5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D10" dT="2022-06-22T11:38:42.86" personId="{CD4AB775-DAAC-498B-9840-D3D4EC66021F}" id="{A1282D56-5CA8-435A-9D9C-C8651CDBAB27}">
    <text>Rev Inst Cr Hrs + Non-Res Cr Hrs + Gibson WC Waivers</text>
  </threadedComment>
</ThreadedComments>
</file>

<file path=xl/threadedComments/threadedComment4.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5.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6.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7.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12.bin"/><Relationship Id="rId4" Type="http://schemas.microsoft.com/office/2017/10/relationships/threadedComment" Target="../threadedComments/threadedComment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728</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Daytona State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755</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v>37286974.030000001</v>
      </c>
      <c r="C10" s="577">
        <v>3410356.56</v>
      </c>
      <c r="D10" s="577">
        <v>315500</v>
      </c>
      <c r="E10" s="480">
        <f>SUM(B10:D10)</f>
        <v>41012830.590000004</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325225</v>
      </c>
      <c r="C12" s="567">
        <v>11785</v>
      </c>
      <c r="D12" s="567">
        <v>0</v>
      </c>
      <c r="E12" s="481">
        <f>SUM(B12:D12)</f>
        <v>337010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1311008</v>
      </c>
      <c r="C14" s="579">
        <v>68987.199999999997</v>
      </c>
      <c r="D14" s="579">
        <v>0</v>
      </c>
      <c r="E14" s="481">
        <f t="shared" ref="E14:E20" si="0">SUM(B14:D14)</f>
        <v>1379995.2</v>
      </c>
      <c r="F14" s="457"/>
    </row>
    <row r="15" spans="1:8" s="37" customFormat="1" ht="20.100000000000001" customHeight="1">
      <c r="A15" s="479" t="s">
        <v>625</v>
      </c>
      <c r="B15" s="578">
        <v>5186748.5</v>
      </c>
      <c r="C15" s="567">
        <v>956911.20000000007</v>
      </c>
      <c r="D15" s="567">
        <v>1061961</v>
      </c>
      <c r="E15" s="481">
        <f>SUM(B15:D15)</f>
        <v>7205620.7000000002</v>
      </c>
      <c r="F15" s="457"/>
    </row>
    <row r="16" spans="1:8" s="37" customFormat="1" ht="20.100000000000001" customHeight="1">
      <c r="A16" s="479" t="s">
        <v>626</v>
      </c>
      <c r="B16" s="578">
        <v>9185118.7999999989</v>
      </c>
      <c r="C16" s="567">
        <v>1030419</v>
      </c>
      <c r="D16" s="567">
        <v>0</v>
      </c>
      <c r="E16" s="481">
        <f t="shared" si="0"/>
        <v>10215537.799999999</v>
      </c>
      <c r="F16" s="457"/>
    </row>
    <row r="17" spans="1:6" s="37" customFormat="1" ht="20.100000000000001" customHeight="1">
      <c r="A17" s="479" t="s">
        <v>627</v>
      </c>
      <c r="B17" s="578">
        <v>11430470.5</v>
      </c>
      <c r="C17" s="567">
        <v>6219949.0411</v>
      </c>
      <c r="D17" s="567">
        <v>136000</v>
      </c>
      <c r="E17" s="481">
        <f t="shared" si="0"/>
        <v>17786419.541099999</v>
      </c>
      <c r="F17" s="457"/>
    </row>
    <row r="18" spans="1:6" s="37" customFormat="1" ht="20.100000000000001" customHeight="1">
      <c r="A18" s="479" t="s">
        <v>628</v>
      </c>
      <c r="B18" s="578">
        <v>7441936.4199999999</v>
      </c>
      <c r="C18" s="567">
        <v>6432360</v>
      </c>
      <c r="D18" s="567">
        <v>0</v>
      </c>
      <c r="E18" s="481">
        <f t="shared" si="0"/>
        <v>13874296.42</v>
      </c>
      <c r="F18" s="457"/>
    </row>
    <row r="19" spans="1:6" s="37" customFormat="1" ht="20.100000000000001" customHeight="1">
      <c r="A19" s="479" t="s">
        <v>629</v>
      </c>
      <c r="B19" s="578">
        <v>0</v>
      </c>
      <c r="C19" s="567">
        <v>746500</v>
      </c>
      <c r="D19" s="567">
        <v>0</v>
      </c>
      <c r="E19" s="481">
        <f t="shared" si="0"/>
        <v>746500</v>
      </c>
      <c r="F19" s="457"/>
    </row>
    <row r="20" spans="1:6" s="37" customFormat="1" ht="20.100000000000001" customHeight="1" thickBot="1">
      <c r="A20" s="479" t="s">
        <v>630</v>
      </c>
      <c r="B20" s="578">
        <v>-2000000</v>
      </c>
      <c r="C20" s="568">
        <v>0</v>
      </c>
      <c r="D20" s="568">
        <v>0</v>
      </c>
      <c r="E20" s="481">
        <f t="shared" si="0"/>
        <v>-2000000</v>
      </c>
      <c r="F20" s="457"/>
    </row>
    <row r="21" spans="1:6" s="37" customFormat="1" ht="24" customHeight="1" thickBot="1">
      <c r="A21" s="377" t="s">
        <v>50</v>
      </c>
      <c r="B21" s="458">
        <f>SUM(B10:B20)</f>
        <v>70167481.25</v>
      </c>
      <c r="C21" s="461">
        <f>SUM(C10:C20)</f>
        <v>18877268.0011</v>
      </c>
      <c r="D21" s="461">
        <f>SUM(D10:D20)</f>
        <v>1513461</v>
      </c>
      <c r="E21" s="460">
        <f>SUM(E10:E20)</f>
        <v>90558210.251100004</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topLeftCell="A7" zoomScale="70" zoomScaleNormal="70" zoomScalePageLayoutView="70" workbookViewId="0">
      <selection activeCell="E20" sqref="E20"/>
    </sheetView>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6"/>
  <sheetViews>
    <sheetView showGridLines="0" zoomScale="50" zoomScaleNormal="50" zoomScaleSheetLayoutView="50" zoomScalePageLayoutView="60" workbookViewId="0">
      <selection activeCell="H22" sqref="H22"/>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30" t="s">
        <v>183</v>
      </c>
      <c r="B1" s="1154" t="str">
        <f>'CHECK SHEET'!D7</f>
        <v>Daytona State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755</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737</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2105198</v>
      </c>
      <c r="E15" s="925">
        <v>0</v>
      </c>
      <c r="F15" s="926">
        <f t="shared" si="0"/>
        <v>2105198</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0</v>
      </c>
      <c r="E16" s="925">
        <v>0</v>
      </c>
      <c r="F16" s="926">
        <f t="shared" si="0"/>
        <v>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802</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93850</v>
      </c>
      <c r="E25" s="925">
        <v>0</v>
      </c>
      <c r="F25" s="926">
        <f t="shared" si="0"/>
        <v>93850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101500</v>
      </c>
      <c r="E30" s="925">
        <v>0</v>
      </c>
      <c r="F30" s="926">
        <f t="shared" si="0"/>
        <v>101500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0</v>
      </c>
      <c r="E34" s="925">
        <v>0</v>
      </c>
      <c r="F34" s="926">
        <f t="shared" si="0"/>
        <v>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3000</v>
      </c>
      <c r="E42" s="925">
        <v>0</v>
      </c>
      <c r="F42" s="926">
        <f t="shared" si="0"/>
        <v>3000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176020</v>
      </c>
      <c r="E48" s="925">
        <v>0</v>
      </c>
      <c r="F48" s="926">
        <f t="shared" si="0"/>
        <v>176020</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245712</v>
      </c>
      <c r="E49" s="925">
        <v>0</v>
      </c>
      <c r="F49" s="926">
        <f t="shared" si="0"/>
        <v>245712</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227383</v>
      </c>
      <c r="E54" s="925">
        <v>0</v>
      </c>
      <c r="F54" s="926">
        <f t="shared" si="0"/>
        <v>227383</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3900</v>
      </c>
      <c r="E55" s="925">
        <v>0</v>
      </c>
      <c r="F55" s="926">
        <f t="shared" si="0"/>
        <v>3900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2956563</v>
      </c>
      <c r="E57" s="346">
        <f>SUM(E10:E56)</f>
        <v>0</v>
      </c>
      <c r="F57" s="346">
        <f t="shared" si="0"/>
        <v>2956563</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2850</v>
      </c>
      <c r="E64" s="580">
        <v>0</v>
      </c>
      <c r="F64" s="304">
        <f t="shared" si="0"/>
        <v>2850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517</v>
      </c>
      <c r="E67" s="925">
        <v>0</v>
      </c>
      <c r="F67" s="926">
        <f t="shared" si="0"/>
        <v>517</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1" t="s">
        <v>732</v>
      </c>
      <c r="B70" s="923"/>
      <c r="C70" s="1246">
        <v>63100</v>
      </c>
      <c r="D70" s="1247">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700</v>
      </c>
      <c r="E80" s="925">
        <v>0</v>
      </c>
      <c r="F80" s="926">
        <f t="shared" si="0"/>
        <v>700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5835</v>
      </c>
      <c r="E83" s="925">
        <v>0</v>
      </c>
      <c r="F83" s="926">
        <f t="shared" si="1"/>
        <v>5835</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12900</v>
      </c>
      <c r="E84" s="925">
        <v>0</v>
      </c>
      <c r="F84" s="926">
        <f t="shared" si="1"/>
        <v>12900</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4500</v>
      </c>
      <c r="E85" s="925">
        <v>0</v>
      </c>
      <c r="F85" s="926">
        <f t="shared" si="1"/>
        <v>4500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1950</v>
      </c>
      <c r="E87" s="925">
        <v>0</v>
      </c>
      <c r="F87" s="926">
        <f t="shared" si="1"/>
        <v>1950</v>
      </c>
      <c r="G87" s="305"/>
      <c r="H87" s="305"/>
      <c r="I87" s="305"/>
      <c r="J87" s="305"/>
      <c r="K87" s="305"/>
      <c r="L87" s="305"/>
      <c r="M87" s="305"/>
      <c r="N87" s="305"/>
      <c r="O87" s="305"/>
      <c r="P87" s="305"/>
      <c r="Q87" s="305"/>
    </row>
    <row r="88" spans="1:21" s="308" customFormat="1" ht="30" customHeight="1">
      <c r="A88" s="922" t="s">
        <v>550</v>
      </c>
      <c r="B88" s="923"/>
      <c r="C88" s="932" t="s">
        <v>551</v>
      </c>
      <c r="D88" s="925">
        <v>7500</v>
      </c>
      <c r="E88" s="925">
        <v>0</v>
      </c>
      <c r="F88" s="926">
        <f t="shared" ref="F88:F93" si="2">+D88+E88</f>
        <v>7500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36752</v>
      </c>
      <c r="E103" s="342">
        <f>SUM(E64:E102)</f>
        <v>0</v>
      </c>
      <c r="F103" s="342">
        <f t="shared" si="1"/>
        <v>36752</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763</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764</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731</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2993315</v>
      </c>
      <c r="E123" s="342">
        <f>+E57+E103+E121</f>
        <v>0</v>
      </c>
      <c r="F123" s="342">
        <f>SUM(D123:E123)</f>
        <v>2993315</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2657645</v>
      </c>
      <c r="E128" s="925">
        <v>0</v>
      </c>
      <c r="F128" s="926">
        <f t="shared" ref="F128:F138" si="3">+D128+E128</f>
        <v>2657645</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194413</v>
      </c>
      <c r="E129" s="925">
        <v>0</v>
      </c>
      <c r="F129" s="926">
        <f t="shared" si="3"/>
        <v>194413</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729</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141257</v>
      </c>
      <c r="E133" s="925">
        <v>0</v>
      </c>
      <c r="F133" s="926">
        <f t="shared" si="3"/>
        <v>141257</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2993315</v>
      </c>
      <c r="E139" s="334">
        <f>SUM(E127:E138)</f>
        <v>0</v>
      </c>
      <c r="F139" s="335">
        <f>SUM(F127:F138)</f>
        <v>2993315</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797</v>
      </c>
      <c r="B141" s="1157"/>
      <c r="C141" s="1158"/>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798</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topLeftCell="A49"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30" t="s">
        <v>11</v>
      </c>
      <c r="C1" s="1130"/>
      <c r="D1" s="1130"/>
      <c r="E1" s="1130"/>
      <c r="F1" s="352"/>
      <c r="G1" s="352"/>
    </row>
    <row r="2" spans="2:7" ht="26.25">
      <c r="B2" s="1130" t="s">
        <v>756</v>
      </c>
      <c r="C2" s="1130"/>
      <c r="D2" s="1130"/>
      <c r="E2" s="1130"/>
      <c r="F2" s="352"/>
      <c r="G2" s="352"/>
    </row>
    <row r="3" spans="2:7" ht="21">
      <c r="B3" s="1116"/>
      <c r="C3" s="1116"/>
      <c r="D3" s="1116"/>
      <c r="E3" s="1116"/>
      <c r="F3" s="352"/>
      <c r="G3" s="352"/>
    </row>
    <row r="4" spans="2:7" ht="21.75"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5"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30" t="s">
        <v>11</v>
      </c>
      <c r="B1" s="1130"/>
      <c r="C1" s="1130"/>
    </row>
    <row r="2" spans="1:21" s="101" customFormat="1" ht="21" customHeight="1" thickBot="1">
      <c r="A2" s="1130" t="s">
        <v>757</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election activeCell="K17" sqref="K17"/>
    </sheetView>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762</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85"/>
  <sheetViews>
    <sheetView showGridLines="0" zoomScale="60" zoomScaleNormal="60" zoomScalePageLayoutView="80" workbookViewId="0"/>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805</v>
      </c>
      <c r="C3" s="77"/>
      <c r="D3" s="86"/>
      <c r="E3" s="85"/>
      <c r="F3" s="25"/>
    </row>
    <row r="4" spans="1:10" ht="25.35" customHeight="1" thickBot="1">
      <c r="A4" s="75">
        <v>1</v>
      </c>
      <c r="B4" s="64">
        <v>2</v>
      </c>
      <c r="C4" s="64">
        <v>3</v>
      </c>
      <c r="D4" s="64">
        <v>4</v>
      </c>
      <c r="E4" s="68"/>
      <c r="F4" s="25"/>
    </row>
    <row r="5" spans="1:10" ht="44.1" customHeight="1" thickBot="1">
      <c r="A5" s="1273" t="s">
        <v>16</v>
      </c>
      <c r="B5" s="1322" t="s">
        <v>775</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f>33122473.9644-375000</f>
        <v>32747473.964400001</v>
      </c>
      <c r="C9" s="1169">
        <v>5159428</v>
      </c>
      <c r="D9" s="87">
        <f t="shared" si="0"/>
        <v>37906901.964400001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f>43596058.664-447123</f>
        <v>43148935.663999997</v>
      </c>
      <c r="C11" s="1169">
        <v>10843888</v>
      </c>
      <c r="D11" s="87">
        <f t="shared" si="0"/>
        <v>53992823.663999997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f>29636356.8458-50000</f>
        <v>29586356.845800001</v>
      </c>
      <c r="C33" s="1169">
        <v>6733218</v>
      </c>
      <c r="D33" s="87">
        <f t="shared" si="0"/>
        <v>36319574.845799997</v>
      </c>
      <c r="E33" s="529"/>
      <c r="F33" s="59"/>
      <c r="G33" s="59"/>
      <c r="I33" s="529"/>
      <c r="J33" s="59"/>
      <c r="K33" s="529"/>
    </row>
    <row r="34" spans="1:21" ht="25.35" customHeight="1" thickBot="1">
      <c r="A34" s="502" t="s">
        <v>49</v>
      </c>
      <c r="B34" s="1168">
        <f>88194296.7616-1000000</f>
        <v>87194296.761600003</v>
      </c>
      <c r="C34" s="1169">
        <v>14647340</v>
      </c>
      <c r="D34" s="88">
        <f t="shared" si="0"/>
        <v>101841636.7616</v>
      </c>
      <c r="E34" s="529"/>
      <c r="F34" s="59"/>
      <c r="G34" s="59"/>
      <c r="I34" s="529"/>
      <c r="J34" s="59"/>
      <c r="K34" s="529"/>
    </row>
    <row r="35" spans="1:21" ht="25.35" customHeight="1" thickBot="1">
      <c r="A35" s="503" t="s">
        <v>50</v>
      </c>
      <c r="B35" s="554">
        <f>SUM(B7:B34)</f>
        <v>1153749636.0000999</v>
      </c>
      <c r="C35" s="555">
        <f>SUM(C7:C34)</f>
        <v>240982604</v>
      </c>
      <c r="D35" s="518">
        <f>SUM(D7:D34)</f>
        <v>1394732240.0000999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793</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758</v>
      </c>
      <c r="B40" s="1162" t="s">
        <v>806</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777</v>
      </c>
      <c r="C44" s="1253"/>
      <c r="D44" s="1253">
        <v>0</v>
      </c>
      <c r="E44" s="782">
        <f t="shared" si="1"/>
        <v>0</v>
      </c>
    </row>
    <row r="45" spans="1:21" ht="42">
      <c r="A45" s="1172" t="str">
        <f>A11</f>
        <v>Daytona State College</v>
      </c>
      <c r="B45" s="783" t="s">
        <v>57</v>
      </c>
      <c r="C45" s="781">
        <v>500000</v>
      </c>
      <c r="D45" s="781"/>
      <c r="E45" s="782">
        <f t="shared" si="1"/>
        <v>500000</v>
      </c>
      <c r="H45" s="24"/>
    </row>
    <row r="46" spans="1:21" ht="84.75" customHeight="1">
      <c r="A46" s="1170" t="s">
        <v>25</v>
      </c>
      <c r="B46" s="783" t="s">
        <v>776</v>
      </c>
      <c r="C46" s="781"/>
      <c r="D46" s="781">
        <v>315500</v>
      </c>
      <c r="E46" s="782">
        <f t="shared" si="1"/>
        <v>315500</v>
      </c>
      <c r="H46" s="24"/>
    </row>
    <row r="47" spans="1:21" ht="84.75" customHeight="1">
      <c r="A47" s="1170" t="s">
        <v>25</v>
      </c>
      <c r="B47" s="1252" t="s">
        <v>779</v>
      </c>
      <c r="C47" s="1253"/>
      <c r="D47" s="1253">
        <v>0</v>
      </c>
      <c r="E47" s="782">
        <f t="shared" si="1"/>
        <v>0</v>
      </c>
      <c r="H47" s="24"/>
    </row>
    <row r="48" spans="1:21" ht="84.75" customHeight="1">
      <c r="A48" s="1170" t="s">
        <v>21</v>
      </c>
      <c r="B48" s="1252" t="s">
        <v>778</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781</v>
      </c>
      <c r="C50" s="1253"/>
      <c r="D50" s="1253">
        <v>1000000</v>
      </c>
      <c r="E50" s="782">
        <f t="shared" si="1"/>
        <v>1000000</v>
      </c>
      <c r="H50" s="24"/>
    </row>
    <row r="51" spans="1:8" ht="62.45" customHeight="1">
      <c r="A51" s="1170" t="s">
        <v>35</v>
      </c>
      <c r="B51" s="1252" t="s">
        <v>780</v>
      </c>
      <c r="C51" s="1253"/>
      <c r="D51" s="1253">
        <v>600050</v>
      </c>
      <c r="E51" s="782">
        <f t="shared" si="1"/>
        <v>600050</v>
      </c>
      <c r="H51" s="24"/>
    </row>
    <row r="52" spans="1:8" ht="62.45" customHeight="1">
      <c r="A52" s="1170" t="s">
        <v>36</v>
      </c>
      <c r="B52" s="1252" t="s">
        <v>782</v>
      </c>
      <c r="C52" s="1253"/>
      <c r="D52" s="1253">
        <v>400000</v>
      </c>
      <c r="E52" s="782">
        <f t="shared" si="1"/>
        <v>400000</v>
      </c>
      <c r="H52" s="24"/>
    </row>
    <row r="53" spans="1:8" ht="62.45" customHeight="1">
      <c r="A53" s="1170" t="s">
        <v>37</v>
      </c>
      <c r="B53" s="1252" t="s">
        <v>783</v>
      </c>
      <c r="C53" s="1253"/>
      <c r="D53" s="1253">
        <v>500000</v>
      </c>
      <c r="E53" s="782">
        <f t="shared" si="1"/>
        <v>500000</v>
      </c>
      <c r="H53" s="24"/>
    </row>
    <row r="54" spans="1:8" ht="62.45" customHeight="1">
      <c r="A54" s="1170" t="s">
        <v>39</v>
      </c>
      <c r="B54" s="1252" t="s">
        <v>784</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785</v>
      </c>
      <c r="B56" s="1252" t="s">
        <v>786</v>
      </c>
      <c r="C56" s="1253"/>
      <c r="D56" s="1253">
        <v>765645</v>
      </c>
      <c r="E56" s="782">
        <f t="shared" si="1"/>
        <v>765645</v>
      </c>
      <c r="H56" s="24"/>
    </row>
    <row r="57" spans="1:8" ht="42">
      <c r="A57" s="1329" t="s">
        <v>787</v>
      </c>
      <c r="B57" s="1252" t="s">
        <v>788</v>
      </c>
      <c r="C57" s="1253"/>
      <c r="D57" s="1253">
        <v>5000000</v>
      </c>
      <c r="E57" s="782">
        <f t="shared" si="1"/>
        <v>5000000</v>
      </c>
      <c r="H57" s="24"/>
    </row>
    <row r="58" spans="1:8" ht="42">
      <c r="A58" s="1328" t="s">
        <v>726</v>
      </c>
      <c r="B58" s="1252" t="s">
        <v>789</v>
      </c>
      <c r="C58" s="1253"/>
      <c r="D58" s="1253">
        <v>756722</v>
      </c>
      <c r="E58" s="782">
        <f t="shared" si="1"/>
        <v>756722</v>
      </c>
      <c r="H58" s="24"/>
    </row>
    <row r="59" spans="1:8" ht="63">
      <c r="A59" s="1173" t="s">
        <v>43</v>
      </c>
      <c r="B59" s="783" t="s">
        <v>790</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791</v>
      </c>
      <c r="C61" s="1253"/>
      <c r="D61" s="1253">
        <v>0</v>
      </c>
      <c r="E61" s="782">
        <f t="shared" si="1"/>
        <v>0</v>
      </c>
      <c r="H61" s="24"/>
    </row>
    <row r="62" spans="1:8" ht="86.25" customHeight="1" thickBot="1">
      <c r="A62" s="1328" t="s">
        <v>49</v>
      </c>
      <c r="B62" s="730" t="s">
        <v>792</v>
      </c>
      <c r="C62" s="731"/>
      <c r="D62" s="731">
        <v>0</v>
      </c>
      <c r="E62" s="1330">
        <f t="shared" si="1"/>
        <v>0</v>
      </c>
      <c r="H62" s="24"/>
    </row>
    <row r="63" spans="1:8" ht="24.6" customHeight="1" thickBot="1">
      <c r="A63" s="78" t="s">
        <v>55</v>
      </c>
      <c r="B63" s="500"/>
      <c r="C63" s="552">
        <f>SUM(C43:C62)</f>
        <v>5506271</v>
      </c>
      <c r="D63" s="552">
        <f>SUM(D43:D62)</f>
        <v>13293517</v>
      </c>
      <c r="E63" s="553">
        <f>SUM(E43:E62)</f>
        <v>18799788</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737</v>
      </c>
      <c r="B67" s="505" t="str">
        <f>B3</f>
        <v>Date Updated:   06.03.22    BY:  EN</v>
      </c>
      <c r="C67" s="53" t="s">
        <v>10</v>
      </c>
      <c r="D67" s="53"/>
      <c r="F67" s="24"/>
      <c r="G67" s="24"/>
      <c r="H67" s="24"/>
    </row>
    <row r="68" spans="1:13" ht="45" customHeight="1" thickBot="1">
      <c r="A68" s="1277" t="s">
        <v>727</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759</v>
      </c>
      <c r="B75" s="1281" t="s">
        <v>766</v>
      </c>
      <c r="C75" s="1282"/>
      <c r="D75" s="1282"/>
      <c r="E75" s="1283"/>
      <c r="F75" s="21"/>
      <c r="G75" s="53"/>
      <c r="H75" s="24"/>
    </row>
    <row r="76" spans="1:13" ht="87.6" customHeight="1" thickBot="1">
      <c r="A76" s="50" t="s">
        <v>17</v>
      </c>
      <c r="B76" s="30" t="s">
        <v>794</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767</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760</v>
      </c>
      <c r="B114" s="1257" t="s">
        <v>773</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768</v>
      </c>
      <c r="U116" s="41"/>
      <c r="V116" s="42"/>
      <c r="W116" s="43"/>
      <c r="X116" s="44"/>
      <c r="Y116" s="72"/>
      <c r="Z116" s="1290"/>
      <c r="AA116" s="1291"/>
      <c r="AB116" s="1292"/>
      <c r="AC116" s="22"/>
      <c r="AD116" s="729" t="s">
        <v>769</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770</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771</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772</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7">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730</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774</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T+lbx+Q01UhiVn8FMbZtwI9QZfLjb8c4si/dx9pgs0Qi9ZOgogIy9o9orroNekepSgWNKtRrKRiNoXH3dS1V0Q==" saltValue="CwFM7KtEwotq8jS+cL2Kng=="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topLeftCell="A4" colorId="22" zoomScale="70" zoomScaleNormal="70" zoomScaleSheetLayoutView="51" zoomScalePageLayoutView="60" workbookViewId="0">
      <selection activeCell="C77" sqref="C77"/>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6" t="s">
        <v>11</v>
      </c>
      <c r="B1" s="1116"/>
      <c r="C1" s="1116"/>
      <c r="D1" s="1116"/>
      <c r="E1" s="1116"/>
      <c r="F1" s="1116"/>
      <c r="G1" s="1116"/>
      <c r="H1" s="994"/>
      <c r="I1" s="994"/>
    </row>
    <row r="2" spans="1:53" ht="20.100000000000001" customHeight="1">
      <c r="A2" s="1116" t="s">
        <v>736</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25</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804</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0.1198859738193804</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737</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27360</v>
      </c>
      <c r="E44" s="138">
        <f>+'EXHIBIT C'!F10</f>
        <v>28953.53</v>
      </c>
      <c r="F44" s="139">
        <f t="shared" ref="F44:F50" si="0">IF(D44=0,"0",(E44/D44-1))</f>
        <v>5.8243055555555534E-2</v>
      </c>
      <c r="G44" s="140" t="str">
        <f t="shared" ref="G44:G50" si="1">IF(OR(F44&gt;3%, F44&lt;-3%),"YES","NO")</f>
        <v>YES</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120532.77796685159</v>
      </c>
      <c r="E45" s="142">
        <f>+'EXHIBIT C'!F11</f>
        <v>137554.72999999998</v>
      </c>
      <c r="F45" s="810">
        <f t="shared" si="0"/>
        <v>0.14122259787150759</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61049.673326673328</v>
      </c>
      <c r="E46" s="814">
        <f>+'EXHIBIT C'!F12</f>
        <v>59677.310000000005</v>
      </c>
      <c r="F46" s="810">
        <f t="shared" si="0"/>
        <v>-2.2479454055878145E-2</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18815.543531726515</v>
      </c>
      <c r="E47" s="814">
        <f>+'EXHIBIT C'!F13</f>
        <v>19270.990000000002</v>
      </c>
      <c r="F47" s="810">
        <f t="shared" si="0"/>
        <v>2.4205862961413693E-2</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2427.0661157024792</v>
      </c>
      <c r="E48" s="814">
        <f>+'EXHIBIT C'!F14</f>
        <v>4014.8300000000004</v>
      </c>
      <c r="F48" s="810">
        <f t="shared" si="0"/>
        <v>0.65419061888141683</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30</v>
      </c>
      <c r="E49" s="817">
        <f>+'EXHIBIT C'!F15</f>
        <v>23.28</v>
      </c>
      <c r="F49" s="818">
        <f t="shared" si="0"/>
        <v>-0.22399999999999998</v>
      </c>
      <c r="G49" s="819" t="str">
        <f t="shared" si="1"/>
        <v>YES</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230215.06094095393</v>
      </c>
      <c r="E50" s="145">
        <f>+'EXHIBIT C'!F17</f>
        <v>249494.66999999995</v>
      </c>
      <c r="F50" s="146">
        <f t="shared" si="0"/>
        <v>8.3746080644093501E-2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t="s">
        <v>808</v>
      </c>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423.89</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5710.902222373481</v>
      </c>
      <c r="E69" s="159">
        <f>+'EXHIBIT C'!D20</f>
        <v>5234.12</v>
      </c>
      <c r="F69" s="821">
        <f t="shared" si="2"/>
        <v>-8.3486322092085841E-2</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2636.958041958042</v>
      </c>
      <c r="E70" s="824">
        <f>+'EXHIBIT C'!D21</f>
        <v>1645.12</v>
      </c>
      <c r="F70" s="821">
        <f t="shared" si="2"/>
        <v>-0.37612962594640476</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486.49778652238075</v>
      </c>
      <c r="E71" s="824">
        <f>+'EXHIBIT C'!D22</f>
        <v>654.75</v>
      </c>
      <c r="F71" s="821">
        <f t="shared" si="2"/>
        <v>0.34584373894140841</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122.93388429752065</v>
      </c>
      <c r="E72" s="824">
        <f>+'EXHIBIT C'!D23</f>
        <v>184.3</v>
      </c>
      <c r="F72" s="821">
        <f t="shared" si="2"/>
        <v>0.49917983193277338</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8957.2919351514247</v>
      </c>
      <c r="E74" s="161">
        <f>SUM(E68:E73)</f>
        <v>8142.18</v>
      </c>
      <c r="F74" s="162">
        <f t="shared" si="2"/>
        <v>-9.0999817919593662E-2</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t="s">
        <v>808</v>
      </c>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20"/>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20"/>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43148935.663999997</v>
      </c>
      <c r="E102" s="833">
        <f>+'EXHIBIT D'!G75</f>
        <v>43148935.663999997</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737012</v>
      </c>
      <c r="E103" s="833">
        <f>'EXHIBIT D'!G77</f>
        <v>737012</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10843888</v>
      </c>
      <c r="E104" s="833">
        <f>'EXHIBIT D'!G81</f>
        <v>10843888</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795</v>
      </c>
      <c r="D105" s="173">
        <f>E105</f>
        <v>1901078</v>
      </c>
      <c r="E105" s="174">
        <f>'EXHIBIT D'!G76</f>
        <v>1901078</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56630913.663999997</v>
      </c>
      <c r="E106" s="176">
        <f>SUM(E102:E105)</f>
        <v>56630913.663999997</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738</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18772869</v>
      </c>
      <c r="D119" s="988" t="s">
        <v>739</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18772869</v>
      </c>
      <c r="D120" s="991" t="s">
        <v>740</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799</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46692282</v>
      </c>
      <c r="D126" s="37" t="s">
        <v>761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46692282</v>
      </c>
      <c r="D127" s="37" t="s">
        <v>741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91.790016623188961</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458.64021326287479</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800</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801</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803</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9" t="s">
        <v>180</v>
      </c>
      <c r="C1" s="1129"/>
      <c r="D1" s="1129"/>
      <c r="E1" s="1129"/>
      <c r="F1" s="368"/>
      <c r="G1" s="368"/>
    </row>
    <row r="2" spans="2:7" ht="26.25">
      <c r="B2" s="1130" t="s">
        <v>11</v>
      </c>
      <c r="C2" s="1130"/>
      <c r="D2" s="1130"/>
      <c r="E2" s="1130"/>
      <c r="F2" s="1040"/>
      <c r="G2" s="1040"/>
    </row>
    <row r="3" spans="2:7" ht="26.25">
      <c r="B3" s="1130" t="s">
        <v>181</v>
      </c>
      <c r="C3" s="1130"/>
      <c r="D3" s="1130"/>
      <c r="E3" s="1130"/>
      <c r="F3" s="1040"/>
      <c r="G3" s="1040"/>
    </row>
    <row r="4" spans="2:7" ht="26.25">
      <c r="B4" s="1130" t="s">
        <v>182</v>
      </c>
      <c r="C4" s="1130"/>
      <c r="D4" s="1130"/>
      <c r="E4" s="1130"/>
      <c r="F4" s="1040"/>
      <c r="G4" s="1040"/>
    </row>
    <row r="5" spans="2:7" ht="26.25">
      <c r="B5" s="1129" t="s">
        <v>735</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Daytona State College</v>
      </c>
      <c r="D8" s="1039"/>
      <c r="E8" s="1039"/>
      <c r="F8" s="431"/>
      <c r="G8" s="431"/>
    </row>
    <row r="9" spans="2:7" ht="25.35" customHeight="1">
      <c r="D9" s="149"/>
      <c r="E9" s="149"/>
      <c r="F9" s="149"/>
      <c r="G9" s="149"/>
    </row>
    <row r="10" spans="2:7" ht="41.45" customHeight="1">
      <c r="E10" s="718" t="s">
        <v>184</v>
      </c>
    </row>
    <row r="11" spans="2:7" ht="25.35" customHeight="1">
      <c r="B11" s="112" t="s">
        <v>742</v>
      </c>
      <c r="D11" s="112"/>
      <c r="E11" s="199"/>
    </row>
    <row r="12" spans="2:7" ht="25.35" customHeight="1">
      <c r="B12" s="112"/>
      <c r="C12" s="112"/>
      <c r="D12" s="112"/>
    </row>
    <row r="13" spans="2:7" ht="25.35" customHeight="1">
      <c r="B13" s="37" t="s">
        <v>750</v>
      </c>
      <c r="C13" s="112"/>
      <c r="D13" s="112"/>
      <c r="E13" s="581">
        <v>19338877.399999999</v>
      </c>
    </row>
    <row r="14" spans="2:7" ht="25.35" customHeight="1">
      <c r="B14" s="37" t="s">
        <v>185</v>
      </c>
      <c r="D14" s="112"/>
      <c r="E14" s="719">
        <v>46692282</v>
      </c>
    </row>
    <row r="15" spans="2:7" ht="25.35" customHeight="1">
      <c r="B15" s="112"/>
      <c r="C15" s="24"/>
      <c r="D15" s="112"/>
      <c r="E15" s="200"/>
    </row>
    <row r="16" spans="2:7" ht="25.35" customHeight="1">
      <c r="B16" s="24" t="s">
        <v>743</v>
      </c>
      <c r="C16" s="112"/>
      <c r="D16" s="35"/>
      <c r="E16" s="720">
        <f>+E14+E13</f>
        <v>66031159.399999999</v>
      </c>
    </row>
    <row r="17" spans="2:7" ht="25.35" customHeight="1">
      <c r="B17" s="112"/>
      <c r="C17" s="35"/>
      <c r="D17" s="112"/>
      <c r="E17" s="201"/>
    </row>
    <row r="18" spans="2:7" ht="25.35" customHeight="1">
      <c r="B18" s="37" t="s">
        <v>186</v>
      </c>
      <c r="C18" s="112"/>
      <c r="D18" s="112"/>
      <c r="E18" s="213">
        <f>+'EXHIBIT D'!G144-SUM(+'EXHIBIT D'!G132+'EXHIBIT D'!G133+'EXHIBIT D'!G134+'EXHIBIT D'!G135)</f>
        <v>89883209.664000005</v>
      </c>
      <c r="G18" s="202"/>
    </row>
    <row r="19" spans="2:7" ht="25.35" customHeight="1">
      <c r="B19" s="37" t="s">
        <v>187</v>
      </c>
      <c r="D19" s="112"/>
      <c r="E19" s="720">
        <f>+'EXHIBIT D'!G132+'EXHIBIT D'!G133+'EXHIBIT D'!G134+'EXHIBIT D'!G135</f>
        <v>675000</v>
      </c>
    </row>
    <row r="20" spans="2:7" ht="25.35" customHeight="1">
      <c r="B20" s="112"/>
      <c r="D20" s="112"/>
      <c r="E20" s="208"/>
    </row>
    <row r="21" spans="2:7" ht="25.35" customHeight="1">
      <c r="B21" s="37" t="s">
        <v>188</v>
      </c>
      <c r="C21" s="112"/>
      <c r="D21" s="112"/>
      <c r="E21" s="721">
        <f>+E19+E18</f>
        <v>90558209.664000005</v>
      </c>
    </row>
    <row r="22" spans="2:7" ht="25.35" customHeight="1">
      <c r="B22" s="112"/>
      <c r="C22" s="112"/>
      <c r="D22" s="112"/>
      <c r="E22" s="208"/>
    </row>
    <row r="23" spans="2:7" ht="25.35" customHeight="1">
      <c r="B23" s="112" t="s">
        <v>189</v>
      </c>
      <c r="C23" s="112"/>
      <c r="D23" s="112"/>
      <c r="E23" s="721">
        <f>+E21+E16</f>
        <v>156589369.06400001</v>
      </c>
    </row>
    <row r="24" spans="2:7" ht="25.35" customHeight="1">
      <c r="B24" s="112"/>
      <c r="C24" s="112"/>
      <c r="D24" s="112"/>
      <c r="E24" s="208"/>
    </row>
    <row r="25" spans="2:7" ht="25.35" customHeight="1">
      <c r="B25" s="37" t="s">
        <v>190</v>
      </c>
      <c r="C25" s="112"/>
      <c r="D25" s="112"/>
      <c r="E25" s="214">
        <f>'EXHIBIT D'!G260-SUM(+'EXHIBIT D'!G231+'EXHIBIT D'!G232+'EXHIBIT D'!G233+'EXHIBIT D'!G234+'EXHIBIT D'!G235)</f>
        <v>90558210.251100004</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90558210.251100004</v>
      </c>
    </row>
    <row r="29" spans="2:7" ht="25.35" customHeight="1">
      <c r="B29" s="112"/>
      <c r="C29" s="112"/>
      <c r="D29" s="112"/>
      <c r="E29" s="203"/>
    </row>
    <row r="30" spans="2:7" ht="25.35" customHeight="1">
      <c r="B30" s="112" t="s">
        <v>744</v>
      </c>
      <c r="C30" s="112"/>
      <c r="D30" s="112"/>
      <c r="E30" s="203"/>
    </row>
    <row r="31" spans="2:7" ht="25.35" customHeight="1">
      <c r="B31" s="112"/>
      <c r="C31" s="112"/>
      <c r="D31" s="112"/>
      <c r="E31" s="203"/>
    </row>
    <row r="32" spans="2:7" ht="25.35" customHeight="1">
      <c r="B32" s="37" t="s">
        <v>193</v>
      </c>
      <c r="C32" s="112"/>
      <c r="D32" s="204">
        <f>+E23-E28</f>
        <v>66031158.812900007</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745</v>
      </c>
      <c r="C35" s="112"/>
      <c r="D35" s="112"/>
      <c r="E35" s="206">
        <f>+D32+D33</f>
        <v>66031158.812900007</v>
      </c>
      <c r="J35" s="149"/>
    </row>
    <row r="36" spans="2:10" ht="25.35" customHeight="1">
      <c r="B36" s="37" t="s">
        <v>746</v>
      </c>
      <c r="C36" s="112"/>
      <c r="D36" s="112"/>
      <c r="E36" s="721">
        <f>-'EXHIBIT D'!G276</f>
        <v>46692282</v>
      </c>
      <c r="J36" s="207"/>
    </row>
    <row r="37" spans="2:10" ht="25.35" customHeight="1">
      <c r="D37" s="112"/>
      <c r="E37" s="206"/>
      <c r="J37" s="149"/>
    </row>
    <row r="38" spans="2:10" ht="25.35" customHeight="1">
      <c r="B38" s="112" t="s">
        <v>747</v>
      </c>
      <c r="D38" s="112"/>
      <c r="E38" s="720">
        <f>+E35-E36</f>
        <v>19338876.812900007</v>
      </c>
      <c r="J38" s="149"/>
    </row>
    <row r="39" spans="2:10" ht="25.35" customHeight="1">
      <c r="B39" s="112"/>
      <c r="C39" s="112"/>
      <c r="D39" s="112"/>
      <c r="E39" s="208"/>
    </row>
    <row r="40" spans="2:10" ht="25.35" customHeight="1">
      <c r="B40" s="24" t="s">
        <v>748</v>
      </c>
      <c r="C40" s="112"/>
      <c r="D40" s="35"/>
      <c r="E40" s="722">
        <f>'EXHIBIT D'!G265+'EXHIBIT D'!G266+'EXHIBIT D'!G267+'EXHIBIT D'!G268+'EXHIBIT D'!G269+'EXHIBIT D'!G270+'EXHIBIT D'!G271+'EXHIBIT D'!G272</f>
        <v>18772869</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749</v>
      </c>
      <c r="C44" s="112"/>
      <c r="D44" s="112"/>
      <c r="E44" s="724">
        <f>+E40/E23</f>
        <v>0.1198859738193804</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60" zoomScaleNormal="60" zoomScalePageLayoutView="50" workbookViewId="0"/>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751</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Daytona State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191">
        <v>4.5</v>
      </c>
      <c r="D14" s="1191">
        <v>9</v>
      </c>
      <c r="E14" s="1191">
        <v>10.53</v>
      </c>
      <c r="F14" s="1191">
        <v>4.5</v>
      </c>
      <c r="G14" s="844">
        <f>SUM(B14:F14)</f>
        <v>120.32000000000001</v>
      </c>
      <c r="H14" s="474">
        <f>G14*30</f>
        <v>3609.6000000000004</v>
      </c>
      <c r="I14" s="24"/>
    </row>
    <row r="15" spans="1:18" s="37" customFormat="1" ht="20.100000000000001" customHeight="1">
      <c r="A15" s="112" t="s">
        <v>212</v>
      </c>
      <c r="B15" s="1192">
        <v>79.22</v>
      </c>
      <c r="C15" s="1192">
        <v>3.86</v>
      </c>
      <c r="D15" s="1192">
        <v>7.72</v>
      </c>
      <c r="E15" s="1192">
        <v>7.72</v>
      </c>
      <c r="F15" s="1192">
        <v>3.86</v>
      </c>
      <c r="G15" s="844">
        <f>SUM(B15:F15)</f>
        <v>102.38</v>
      </c>
      <c r="H15" s="437">
        <f>G15*30</f>
        <v>3071.3999999999996</v>
      </c>
      <c r="I15" s="24"/>
    </row>
    <row r="16" spans="1:18" s="37" customFormat="1" ht="20.100000000000001" customHeight="1" thickBot="1">
      <c r="A16" s="35" t="s">
        <v>82</v>
      </c>
      <c r="B16" s="1193">
        <v>68.53</v>
      </c>
      <c r="C16" s="1193">
        <v>6.85</v>
      </c>
      <c r="D16" s="1194"/>
      <c r="E16" s="1193">
        <v>3.43</v>
      </c>
      <c r="F16" s="1193">
        <v>3.43</v>
      </c>
      <c r="G16" s="438">
        <f>SUM(B16:F16)</f>
        <v>82.240000000000009</v>
      </c>
      <c r="H16" s="845">
        <f>G16*30</f>
        <v>2467.2000000000003</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30</v>
      </c>
      <c r="C19" s="475"/>
      <c r="D19" s="475"/>
      <c r="E19" s="475"/>
      <c r="F19" s="475"/>
      <c r="G19" s="844">
        <f>B19</f>
        <v>30</v>
      </c>
      <c r="H19" s="759">
        <f>G19*3</f>
        <v>90</v>
      </c>
    </row>
    <row r="20" spans="1:11" s="37" customFormat="1" ht="20.100000000000001" customHeight="1" thickBot="1">
      <c r="A20" s="112" t="s">
        <v>216</v>
      </c>
      <c r="B20" s="744">
        <v>30</v>
      </c>
      <c r="C20" s="476"/>
      <c r="D20" s="476"/>
      <c r="E20" s="476"/>
      <c r="F20" s="476"/>
      <c r="G20" s="441">
        <f>B20</f>
        <v>30</v>
      </c>
      <c r="H20" s="707">
        <f>G20*3</f>
        <v>90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f>550.43-B29</f>
        <v>458.63999999999993</v>
      </c>
      <c r="D29" s="1191">
        <v>4.5</v>
      </c>
      <c r="E29" s="676">
        <f>D14</f>
        <v>9</v>
      </c>
      <c r="F29" s="1191">
        <v>54.86</v>
      </c>
      <c r="G29" s="1191">
        <v>4.5</v>
      </c>
      <c r="H29" s="448">
        <f>SUM(B29:G29)</f>
        <v>623.29</v>
      </c>
      <c r="I29" s="468">
        <f>H29*30</f>
        <v>18698.699999999997</v>
      </c>
      <c r="J29" s="24"/>
    </row>
    <row r="30" spans="1:11" s="37" customFormat="1" ht="20.100000000000001" customHeight="1">
      <c r="A30" s="112" t="str">
        <f t="shared" si="0"/>
        <v>LOWER LEVEL - CREDIT (A &amp; P, PSV, DEVELOPMENTAL EDUCATION AND EPI)</v>
      </c>
      <c r="B30" s="848">
        <f t="shared" si="0"/>
        <v>79.22</v>
      </c>
      <c r="C30" s="1195">
        <f>311.18-B30</f>
        <v>231.96</v>
      </c>
      <c r="D30" s="1195">
        <v>15.46</v>
      </c>
      <c r="E30" s="849">
        <f>D15</f>
        <v>7.72</v>
      </c>
      <c r="F30" s="1195">
        <v>48.83</v>
      </c>
      <c r="G30" s="1195">
        <v>15.46</v>
      </c>
      <c r="H30" s="844">
        <f>SUM(B30:G30)</f>
        <v>398.65</v>
      </c>
      <c r="I30" s="437">
        <f>H30*30</f>
        <v>11959.5</v>
      </c>
    </row>
    <row r="31" spans="1:11" s="37" customFormat="1" ht="20.100000000000001" customHeight="1" thickBot="1">
      <c r="A31" s="112" t="str">
        <f t="shared" si="0"/>
        <v>CAREER CERTIFICATE AND APPLIED TECHNOLOGY DIPLOMA</v>
      </c>
      <c r="B31" s="527">
        <f t="shared" si="0"/>
        <v>68.53</v>
      </c>
      <c r="C31" s="1192">
        <f>276.09-B31</f>
        <v>207.55999999999997</v>
      </c>
      <c r="D31" s="1192">
        <v>27.41</v>
      </c>
      <c r="E31" s="405"/>
      <c r="F31" s="1192">
        <v>11.75</v>
      </c>
      <c r="G31" s="1192">
        <v>13.71</v>
      </c>
      <c r="H31" s="438">
        <f>SUM(B31:G31)</f>
        <v>328.96</v>
      </c>
      <c r="I31" s="845">
        <f>H31*30</f>
        <v>9868.7999999999993</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30</v>
      </c>
      <c r="C34" s="475"/>
      <c r="D34" s="475"/>
      <c r="E34" s="475"/>
      <c r="F34" s="475"/>
      <c r="G34" s="475"/>
      <c r="H34" s="850">
        <f>B34</f>
        <v>30</v>
      </c>
      <c r="I34" s="469">
        <f>H34*3</f>
        <v>90</v>
      </c>
      <c r="J34" s="453"/>
      <c r="K34" s="453"/>
    </row>
    <row r="35" spans="1:11" s="37" customFormat="1" ht="20.100000000000001" customHeight="1" thickBot="1">
      <c r="A35" s="35" t="str">
        <f>A20</f>
        <v>ADULT GENERAL EDUCATION AND SECONDARY (PER TERM)</v>
      </c>
      <c r="B35" s="851">
        <f>B20</f>
        <v>30</v>
      </c>
      <c r="C35" s="476"/>
      <c r="D35" s="476"/>
      <c r="E35" s="476"/>
      <c r="F35" s="476"/>
      <c r="G35" s="476"/>
      <c r="H35" s="454">
        <f>B35</f>
        <v>30</v>
      </c>
      <c r="I35" s="852">
        <f>H35*3</f>
        <v>90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752</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753</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Daytona State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f>28529.64+423.89+33</f>
        <v>28986.53</v>
      </c>
      <c r="E10" s="680">
        <v>33</v>
      </c>
      <c r="F10" s="681">
        <f t="shared" ref="F10:F15" si="0">+D10-E10</f>
        <v>28953.53</v>
      </c>
      <c r="G10" s="681">
        <f>'EXHIBIT B'!B14</f>
        <v>91.79</v>
      </c>
      <c r="H10" s="682">
        <f>ROUND(+F10*G10,0)</f>
        <v>2657645</v>
      </c>
      <c r="I10" s="149"/>
      <c r="J10" s="149"/>
    </row>
    <row r="11" spans="1:10" ht="20.100000000000001" customHeight="1">
      <c r="A11" s="855" t="s">
        <v>205</v>
      </c>
      <c r="B11" s="855" t="s">
        <v>133</v>
      </c>
      <c r="C11" s="856" t="s">
        <v>233</v>
      </c>
      <c r="D11" s="854">
        <f>132320.61+5234.12+23466</f>
        <v>161020.72999999998</v>
      </c>
      <c r="E11" s="854">
        <v>23466</v>
      </c>
      <c r="F11" s="857">
        <f t="shared" si="0"/>
        <v>137554.72999999998</v>
      </c>
      <c r="G11" s="857">
        <f>+'EXHIBIT B'!B15</f>
        <v>79.22</v>
      </c>
      <c r="H11" s="858">
        <f t="shared" ref="H11:H15" si="1">ROUND(+F11*G11,0)</f>
        <v>10897086</v>
      </c>
      <c r="I11" s="149"/>
      <c r="J11" s="149"/>
    </row>
    <row r="12" spans="1:10" ht="20.100000000000001" customHeight="1">
      <c r="A12" s="855" t="s">
        <v>205</v>
      </c>
      <c r="B12" s="855" t="s">
        <v>134</v>
      </c>
      <c r="C12" s="856" t="s">
        <v>234</v>
      </c>
      <c r="D12" s="854">
        <f>58032.19+1645.12+497</f>
        <v>60174.310000000005</v>
      </c>
      <c r="E12" s="854">
        <v>497</v>
      </c>
      <c r="F12" s="857">
        <f t="shared" si="0"/>
        <v>59677.310000000005</v>
      </c>
      <c r="G12" s="857">
        <f>+'EXHIBIT B'!B15</f>
        <v>79.22</v>
      </c>
      <c r="H12" s="858">
        <f t="shared" si="1"/>
        <v>4727636</v>
      </c>
      <c r="I12" s="149"/>
      <c r="J12" s="149"/>
    </row>
    <row r="13" spans="1:10" ht="20.100000000000001" customHeight="1">
      <c r="A13" s="855" t="s">
        <v>205</v>
      </c>
      <c r="B13" s="855" t="s">
        <v>82</v>
      </c>
      <c r="C13" s="856" t="s">
        <v>235</v>
      </c>
      <c r="D13" s="859">
        <f>18616.24+654.75+170</f>
        <v>19440.990000000002</v>
      </c>
      <c r="E13" s="859">
        <v>170</v>
      </c>
      <c r="F13" s="857">
        <f t="shared" si="0"/>
        <v>19270.990000000002</v>
      </c>
      <c r="G13" s="857">
        <f>+'EXHIBIT B'!B16</f>
        <v>68.53</v>
      </c>
      <c r="H13" s="858">
        <f t="shared" si="1"/>
        <v>1320641</v>
      </c>
      <c r="I13" s="149"/>
      <c r="J13" s="149"/>
    </row>
    <row r="14" spans="1:10" ht="20.100000000000001" customHeight="1">
      <c r="A14" s="855" t="s">
        <v>205</v>
      </c>
      <c r="B14" s="855" t="s">
        <v>135</v>
      </c>
      <c r="C14" s="856" t="s">
        <v>236</v>
      </c>
      <c r="D14" s="854">
        <f>3830.53+0+184.3</f>
        <v>4014.8300000000004</v>
      </c>
      <c r="E14" s="854">
        <v>0</v>
      </c>
      <c r="F14" s="857">
        <f t="shared" si="0"/>
        <v>4014.8300000000004</v>
      </c>
      <c r="G14" s="857">
        <f>+'EXHIBIT B'!B15</f>
        <v>79.22</v>
      </c>
      <c r="H14" s="858">
        <f t="shared" si="1"/>
        <v>318055</v>
      </c>
      <c r="I14" s="149"/>
      <c r="J14" s="149"/>
    </row>
    <row r="15" spans="1:10" ht="20.100000000000001" customHeight="1" thickBot="1">
      <c r="A15" s="860" t="s">
        <v>205</v>
      </c>
      <c r="B15" s="860" t="s">
        <v>136</v>
      </c>
      <c r="C15" s="861">
        <v>40160</v>
      </c>
      <c r="D15" s="862">
        <v>23.28</v>
      </c>
      <c r="E15" s="862">
        <v>0</v>
      </c>
      <c r="F15" s="863">
        <f t="shared" si="0"/>
        <v>23.28</v>
      </c>
      <c r="G15" s="863">
        <f>+'EXHIBIT B'!B15</f>
        <v>79.22</v>
      </c>
      <c r="H15" s="864">
        <f t="shared" si="1"/>
        <v>1844</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273660.67000000004</v>
      </c>
      <c r="E17" s="386">
        <f>SUM(E10:E15)</f>
        <v>24166</v>
      </c>
      <c r="F17" s="387">
        <f>SUM(F10:F15)</f>
        <v>249494.66999999995</v>
      </c>
      <c r="G17" s="387"/>
      <c r="H17" s="388">
        <f>SUM(H10:H15)</f>
        <v>19922907</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423.89</v>
      </c>
      <c r="E19" s="867">
        <f>'EXHIBIT B'!C29</f>
        <v>458.63999999999993</v>
      </c>
      <c r="F19" s="868">
        <f t="shared" ref="F19:F24" si="2">ROUND(+D19*E19,0)</f>
        <v>194413</v>
      </c>
      <c r="G19" s="390"/>
      <c r="H19" s="390"/>
    </row>
    <row r="20" spans="1:10" ht="20.100000000000001" customHeight="1">
      <c r="A20" s="869" t="s">
        <v>220</v>
      </c>
      <c r="B20" s="869" t="s">
        <v>133</v>
      </c>
      <c r="C20" s="870" t="s">
        <v>240</v>
      </c>
      <c r="D20" s="877">
        <v>5234.12</v>
      </c>
      <c r="E20" s="871">
        <f>+'EXHIBIT B'!C30</f>
        <v>231.96</v>
      </c>
      <c r="F20" s="872">
        <f t="shared" si="2"/>
        <v>1214106</v>
      </c>
      <c r="G20" s="391"/>
      <c r="H20" s="391"/>
    </row>
    <row r="21" spans="1:10" ht="20.100000000000001" customHeight="1">
      <c r="A21" s="869" t="s">
        <v>220</v>
      </c>
      <c r="B21" s="869" t="s">
        <v>134</v>
      </c>
      <c r="C21" s="870" t="s">
        <v>241</v>
      </c>
      <c r="D21" s="877">
        <v>1645.12</v>
      </c>
      <c r="E21" s="871">
        <f>+'EXHIBIT B'!C30</f>
        <v>231.96</v>
      </c>
      <c r="F21" s="872">
        <f t="shared" si="2"/>
        <v>381602</v>
      </c>
      <c r="G21" s="391"/>
      <c r="H21" s="391"/>
    </row>
    <row r="22" spans="1:10" ht="20.100000000000001" customHeight="1">
      <c r="A22" s="869" t="s">
        <v>220</v>
      </c>
      <c r="B22" s="869" t="s">
        <v>82</v>
      </c>
      <c r="C22" s="870" t="s">
        <v>242</v>
      </c>
      <c r="D22" s="877">
        <v>654.75</v>
      </c>
      <c r="E22" s="871">
        <f>+'EXHIBIT B'!C31</f>
        <v>207.55999999999997</v>
      </c>
      <c r="F22" s="872">
        <f t="shared" si="2"/>
        <v>135900</v>
      </c>
      <c r="G22" s="391"/>
      <c r="H22" s="391"/>
    </row>
    <row r="23" spans="1:10" ht="20.100000000000001" customHeight="1">
      <c r="A23" s="869" t="s">
        <v>220</v>
      </c>
      <c r="B23" s="869" t="s">
        <v>135</v>
      </c>
      <c r="C23" s="870" t="s">
        <v>243</v>
      </c>
      <c r="D23" s="877">
        <v>184.3</v>
      </c>
      <c r="E23" s="871">
        <f>+'EXHIBIT B'!C30</f>
        <v>231.96</v>
      </c>
      <c r="F23" s="872">
        <f t="shared" si="2"/>
        <v>42750</v>
      </c>
      <c r="G23" s="391"/>
      <c r="H23" s="391"/>
    </row>
    <row r="24" spans="1:10" ht="20.100000000000001" customHeight="1" thickBot="1">
      <c r="A24" s="745" t="s">
        <v>220</v>
      </c>
      <c r="B24" s="745" t="s">
        <v>136</v>
      </c>
      <c r="C24" s="746">
        <v>40360</v>
      </c>
      <c r="D24" s="1197">
        <v>0</v>
      </c>
      <c r="E24" s="747">
        <f>+'EXHIBIT B'!C30</f>
        <v>231.96</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8142.18</v>
      </c>
      <c r="E26" s="875"/>
      <c r="F26" s="876">
        <f>SUM(F19:F24)</f>
        <v>1968771</v>
      </c>
      <c r="G26" s="395"/>
      <c r="H26" s="395"/>
    </row>
    <row r="27" spans="1:10" ht="20.100000000000001" customHeight="1" thickBot="1">
      <c r="A27" s="396" t="s">
        <v>244</v>
      </c>
      <c r="B27" s="396"/>
      <c r="C27" s="396"/>
      <c r="D27" s="396"/>
      <c r="E27" s="396"/>
      <c r="F27" s="397"/>
      <c r="G27" s="683"/>
      <c r="H27" s="398">
        <f>H17+F26</f>
        <v>21891678</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0</v>
      </c>
      <c r="E32" s="686">
        <v>0</v>
      </c>
      <c r="F32" s="687">
        <f>D32-E32</f>
        <v>0</v>
      </c>
      <c r="G32" s="687">
        <f>'EXHIBIT B'!B19</f>
        <v>30</v>
      </c>
      <c r="H32" s="688">
        <f>ROUND(+F32*G32,0)</f>
        <v>0</v>
      </c>
    </row>
    <row r="33" spans="1:12" ht="20.100000000000001" customHeight="1">
      <c r="A33" s="869" t="s">
        <v>250</v>
      </c>
      <c r="B33" s="869" t="s">
        <v>253</v>
      </c>
      <c r="C33" s="870" t="s">
        <v>254</v>
      </c>
      <c r="D33" s="877">
        <v>1518.05</v>
      </c>
      <c r="E33" s="877">
        <v>0</v>
      </c>
      <c r="F33" s="871">
        <f>D33-E33</f>
        <v>1518.05</v>
      </c>
      <c r="G33" s="871">
        <f>'EXHIBIT B'!B20</f>
        <v>30</v>
      </c>
      <c r="H33" s="872">
        <f>ROUND(+F33*G33,0)</f>
        <v>45542</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1518.05</v>
      </c>
      <c r="E36" s="401">
        <f>SUM(E32:E35)</f>
        <v>0</v>
      </c>
      <c r="F36" s="402">
        <f>D36-E36</f>
        <v>1518.05</v>
      </c>
      <c r="G36" s="402"/>
      <c r="H36" s="403">
        <f>SUM(H32:H35)</f>
        <v>45542</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30</v>
      </c>
      <c r="F39" s="688">
        <f>D39*E39</f>
        <v>0</v>
      </c>
      <c r="G39" s="149"/>
      <c r="H39" s="149"/>
    </row>
    <row r="40" spans="1:12" ht="20.100000000000001" customHeight="1">
      <c r="A40" s="869" t="s">
        <v>250</v>
      </c>
      <c r="B40" s="869" t="s">
        <v>253</v>
      </c>
      <c r="C40" s="870">
        <v>40390</v>
      </c>
      <c r="D40" s="877">
        <v>0</v>
      </c>
      <c r="E40" s="871">
        <f>'EXHIBIT B'!B35</f>
        <v>30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45542</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21937220</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8">
        <v>0</v>
      </c>
      <c r="C54" s="1200"/>
      <c r="D54" s="1201"/>
      <c r="E54" s="1200"/>
      <c r="F54" s="1201"/>
    </row>
    <row r="55" spans="1:10" ht="24.95" customHeight="1">
      <c r="A55" s="884"/>
      <c r="B55" s="877">
        <v>0</v>
      </c>
      <c r="C55" s="1202"/>
      <c r="D55" s="1203"/>
      <c r="E55" s="1202"/>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0</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807</v>
      </c>
      <c r="B63" s="1199">
        <v>675000</v>
      </c>
      <c r="C63" s="1200">
        <v>3</v>
      </c>
      <c r="D63" s="1201"/>
      <c r="E63" s="1200">
        <v>1</v>
      </c>
      <c r="F63" s="1201"/>
      <c r="I63" s="149"/>
    </row>
    <row r="64" spans="1:10" ht="24.95" customHeight="1">
      <c r="A64" s="884"/>
      <c r="B64" s="877">
        <v>0</v>
      </c>
      <c r="C64" s="1202"/>
      <c r="D64" s="1203"/>
      <c r="E64" s="1202"/>
      <c r="F64" s="1203"/>
      <c r="I64" s="149"/>
    </row>
    <row r="65" spans="1:9" ht="24.95" customHeight="1">
      <c r="A65" s="884"/>
      <c r="B65" s="877">
        <v>0</v>
      </c>
      <c r="C65" s="1202"/>
      <c r="D65" s="1203"/>
      <c r="E65" s="1202"/>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675000</v>
      </c>
      <c r="C69" s="1210"/>
      <c r="D69" s="1211"/>
      <c r="E69" s="1210"/>
      <c r="F69" s="1211"/>
    </row>
    <row r="70" spans="1:9" ht="24.95" customHeight="1" thickBot="1">
      <c r="A70" s="374" t="s">
        <v>270</v>
      </c>
      <c r="B70" s="375">
        <f>+B69+B60</f>
        <v>675000</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opLeftCell="A1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Daytona State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82"/>
  <sheetViews>
    <sheetView showGridLines="0" zoomScale="70" zoomScaleNormal="70" zoomScaleSheetLayoutView="70" zoomScalePageLayoutView="70" workbookViewId="0"/>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6"/>
      <c r="B1" s="1146"/>
      <c r="C1" s="1146"/>
      <c r="D1" s="1146"/>
      <c r="E1" s="1146"/>
      <c r="F1" s="1146"/>
      <c r="G1" s="1147"/>
    </row>
    <row r="2" spans="1:8" ht="30" customHeight="1" thickBot="1">
      <c r="A2" s="1147" t="s">
        <v>183</v>
      </c>
      <c r="B2" s="1134" t="str">
        <f>'CHECK SHEET'!D7</f>
        <v>Daytona State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754</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2657645</v>
      </c>
      <c r="H12" s="219"/>
    </row>
    <row r="13" spans="1:8" ht="20.100000000000001" customHeight="1">
      <c r="A13" s="625" t="s">
        <v>205</v>
      </c>
      <c r="B13" s="226"/>
      <c r="C13" s="219" t="s">
        <v>133</v>
      </c>
      <c r="D13" s="226"/>
      <c r="E13" s="226"/>
      <c r="F13" s="232" t="s">
        <v>233</v>
      </c>
      <c r="G13" s="231">
        <f>+'EXHIBIT C'!H11+'EXHIBIT C(2)'!E14</f>
        <v>10897086</v>
      </c>
      <c r="H13" s="219"/>
    </row>
    <row r="14" spans="1:8" ht="20.100000000000001" customHeight="1">
      <c r="A14" s="625" t="s">
        <v>205</v>
      </c>
      <c r="B14" s="226"/>
      <c r="C14" s="226" t="s">
        <v>134</v>
      </c>
      <c r="D14" s="226"/>
      <c r="E14" s="226"/>
      <c r="F14" s="232" t="s">
        <v>234</v>
      </c>
      <c r="G14" s="649">
        <f>+'EXHIBIT C'!H12+'EXHIBIT C(2)'!E15</f>
        <v>4727636</v>
      </c>
      <c r="H14" s="219"/>
    </row>
    <row r="15" spans="1:8" ht="20.100000000000001" customHeight="1">
      <c r="A15" s="625" t="s">
        <v>205</v>
      </c>
      <c r="B15" s="226"/>
      <c r="C15" s="233" t="s">
        <v>287</v>
      </c>
      <c r="D15" s="226"/>
      <c r="E15" s="226"/>
      <c r="F15" s="232" t="s">
        <v>235</v>
      </c>
      <c r="G15" s="649">
        <f>+'EXHIBIT C'!H13+'EXHIBIT C(2)'!E16</f>
        <v>1320641</v>
      </c>
      <c r="H15" s="219"/>
    </row>
    <row r="16" spans="1:8" ht="20.100000000000001" customHeight="1">
      <c r="A16" s="625" t="s">
        <v>205</v>
      </c>
      <c r="B16" s="226"/>
      <c r="C16" s="233" t="s">
        <v>288</v>
      </c>
      <c r="D16" s="226"/>
      <c r="E16" s="226"/>
      <c r="F16" s="232" t="s">
        <v>236</v>
      </c>
      <c r="G16" s="650">
        <f>+'EXHIBIT C'!H14+'EXHIBIT C(2)'!E17</f>
        <v>318055</v>
      </c>
      <c r="H16" s="219"/>
    </row>
    <row r="17" spans="1:8" ht="20.100000000000001" customHeight="1">
      <c r="A17" s="625" t="s">
        <v>205</v>
      </c>
      <c r="B17" s="226"/>
      <c r="C17" s="219" t="s">
        <v>136</v>
      </c>
      <c r="D17" s="226"/>
      <c r="E17" s="226"/>
      <c r="F17" s="235">
        <v>40160</v>
      </c>
      <c r="G17" s="650">
        <f>+'EXHIBIT C'!H15+'EXHIBIT C(2)'!E18</f>
        <v>1844</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19922907</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194413</v>
      </c>
      <c r="H21" s="662"/>
    </row>
    <row r="22" spans="1:8" ht="20.100000000000001" customHeight="1">
      <c r="A22" s="626" t="s">
        <v>220</v>
      </c>
      <c r="B22" s="226"/>
      <c r="C22" s="219" t="s">
        <v>133</v>
      </c>
      <c r="D22" s="226"/>
      <c r="E22" s="226"/>
      <c r="F22" s="232" t="s">
        <v>240</v>
      </c>
      <c r="G22" s="237">
        <f>+'EXHIBIT C'!F20+'EXHIBIT C(2)'!E23</f>
        <v>1214106</v>
      </c>
      <c r="H22" s="219"/>
    </row>
    <row r="23" spans="1:8" ht="20.100000000000001" customHeight="1">
      <c r="A23" s="626" t="s">
        <v>220</v>
      </c>
      <c r="B23" s="226"/>
      <c r="C23" s="226" t="s">
        <v>134</v>
      </c>
      <c r="D23" s="226"/>
      <c r="E23" s="226"/>
      <c r="F23" s="232" t="s">
        <v>241</v>
      </c>
      <c r="G23" s="242">
        <f>+'EXHIBIT C'!F21+'EXHIBIT C(2)'!E24</f>
        <v>381602</v>
      </c>
      <c r="H23" s="219"/>
    </row>
    <row r="24" spans="1:8" ht="20.100000000000001" customHeight="1">
      <c r="A24" s="626" t="s">
        <v>220</v>
      </c>
      <c r="B24" s="226"/>
      <c r="C24" s="233" t="s">
        <v>287</v>
      </c>
      <c r="D24" s="226"/>
      <c r="E24" s="226"/>
      <c r="F24" s="232" t="s">
        <v>242</v>
      </c>
      <c r="G24" s="242">
        <f>+'EXHIBIT C'!F22+'EXHIBIT C(2)'!E25</f>
        <v>135900</v>
      </c>
      <c r="H24" s="219"/>
    </row>
    <row r="25" spans="1:8" ht="20.100000000000001" customHeight="1">
      <c r="A25" s="626" t="s">
        <v>220</v>
      </c>
      <c r="B25" s="226"/>
      <c r="C25" s="233" t="s">
        <v>288</v>
      </c>
      <c r="D25" s="226"/>
      <c r="E25" s="226"/>
      <c r="F25" s="232" t="s">
        <v>243</v>
      </c>
      <c r="G25" s="242">
        <f>+'EXHIBIT C'!F23+'EXHIBIT C(2)'!E26</f>
        <v>42750</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1968771</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0</v>
      </c>
      <c r="H30" s="219"/>
    </row>
    <row r="31" spans="1:8" ht="20.100000000000001" customHeight="1">
      <c r="A31" s="625" t="s">
        <v>291</v>
      </c>
      <c r="B31" s="226"/>
      <c r="C31" s="219" t="s">
        <v>253</v>
      </c>
      <c r="D31" s="226"/>
      <c r="E31" s="226"/>
      <c r="F31" s="232" t="s">
        <v>254</v>
      </c>
      <c r="G31" s="240">
        <f>'EXHIBIT C'!H33</f>
        <v>45542</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45542</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60" t="s">
        <v>253</v>
      </c>
      <c r="D38" s="1060"/>
      <c r="E38" s="1060"/>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21937220</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f>-'[2]Rev_Pivot for completing Exh D'!$C$16</f>
        <v>233500</v>
      </c>
      <c r="H47" s="662"/>
    </row>
    <row r="48" spans="1:8" ht="20.100000000000001" customHeight="1">
      <c r="A48" s="625" t="s">
        <v>302</v>
      </c>
      <c r="B48" s="219"/>
      <c r="C48" s="243"/>
      <c r="D48" s="243"/>
      <c r="E48" s="243"/>
      <c r="F48" s="244" t="s">
        <v>303</v>
      </c>
      <c r="G48" s="569">
        <f>-'[2]Rev_Pivot for completing Exh D'!$C$18</f>
        <v>215534</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v>1606666</v>
      </c>
      <c r="H50" s="219"/>
    </row>
    <row r="51" spans="1:8" ht="20.100000000000001" customHeight="1">
      <c r="A51" s="625" t="s">
        <v>308</v>
      </c>
      <c r="B51" s="226"/>
      <c r="C51" s="226"/>
      <c r="D51" s="226"/>
      <c r="E51" s="226"/>
      <c r="F51" s="230">
        <v>40450</v>
      </c>
      <c r="G51" s="569">
        <v>1905201</v>
      </c>
      <c r="H51" s="219"/>
    </row>
    <row r="52" spans="1:8" ht="20.100000000000001" customHeight="1">
      <c r="A52" s="625" t="s">
        <v>309</v>
      </c>
      <c r="B52" s="226"/>
      <c r="C52" s="226"/>
      <c r="D52" s="226"/>
      <c r="E52" s="226"/>
      <c r="F52" s="245" t="s">
        <v>310</v>
      </c>
      <c r="G52" s="569">
        <v>2021</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4268</v>
      </c>
      <c r="H54" s="219"/>
    </row>
    <row r="55" spans="1:8" ht="20.100000000000001" customHeight="1">
      <c r="A55" s="626" t="s">
        <v>315</v>
      </c>
      <c r="B55" s="229"/>
      <c r="C55" s="229"/>
      <c r="D55" s="229"/>
      <c r="E55" s="229"/>
      <c r="F55" s="244" t="s">
        <v>316</v>
      </c>
      <c r="G55" s="569">
        <v>1190</v>
      </c>
      <c r="H55" s="219"/>
    </row>
    <row r="56" spans="1:8" ht="20.100000000000001" customHeight="1">
      <c r="A56" s="626" t="s">
        <v>317</v>
      </c>
      <c r="B56" s="229"/>
      <c r="C56" s="229"/>
      <c r="D56" s="229"/>
      <c r="E56" s="229"/>
      <c r="F56" s="245" t="s">
        <v>318</v>
      </c>
      <c r="G56" s="569">
        <v>39559</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1061961</v>
      </c>
      <c r="H58" s="219"/>
    </row>
    <row r="59" spans="1:8" ht="20.100000000000001" customHeight="1">
      <c r="A59" s="626" t="s">
        <v>323</v>
      </c>
      <c r="B59" s="229"/>
      <c r="C59" s="229"/>
      <c r="D59" s="229"/>
      <c r="E59" s="229"/>
      <c r="F59" s="245" t="s">
        <v>324</v>
      </c>
      <c r="G59" s="569">
        <f>2153+281272+6048+58477+56916</f>
        <v>404866</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27411986</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f>30515+2200000</f>
        <v>2230515</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2230515</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43148935.663999997</v>
      </c>
      <c r="H75" s="219"/>
    </row>
    <row r="76" spans="1:8" ht="20.100000000000001" customHeight="1">
      <c r="A76" s="625" t="s">
        <v>796</v>
      </c>
      <c r="B76" s="226"/>
      <c r="C76" s="226"/>
      <c r="D76" s="226"/>
      <c r="E76" s="226"/>
      <c r="F76" s="235">
        <v>42130</v>
      </c>
      <c r="G76" s="652">
        <v>1901078</v>
      </c>
      <c r="H76" s="219"/>
    </row>
    <row r="77" spans="1:8" ht="20.100000000000001" customHeight="1">
      <c r="A77" s="628" t="s">
        <v>341</v>
      </c>
      <c r="B77" s="629"/>
      <c r="C77" s="629"/>
      <c r="D77" s="629"/>
      <c r="E77" s="629"/>
      <c r="F77" s="248" t="s">
        <v>342</v>
      </c>
      <c r="G77" s="653">
        <v>737012</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8880</v>
      </c>
      <c r="H79" s="219"/>
    </row>
    <row r="80" spans="1:8" ht="20.100000000000001" customHeight="1">
      <c r="A80" s="625" t="s">
        <v>347</v>
      </c>
      <c r="B80" s="226"/>
      <c r="C80" s="226"/>
      <c r="D80" s="226"/>
      <c r="E80" s="226"/>
      <c r="F80" s="232" t="s">
        <v>348</v>
      </c>
      <c r="G80" s="652">
        <v>0</v>
      </c>
      <c r="H80" s="219"/>
    </row>
    <row r="81" spans="1:10" ht="20.100000000000001" customHeight="1">
      <c r="A81" s="625" t="s">
        <v>349</v>
      </c>
      <c r="B81" s="226"/>
      <c r="C81" s="226"/>
      <c r="D81" s="226"/>
      <c r="E81" s="226"/>
      <c r="F81" s="232" t="s">
        <v>350</v>
      </c>
      <c r="G81" s="651">
        <f>'CHECK SHEET'!D104</f>
        <v>10843888</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56639793.663999997</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1088517</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1088517</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20000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20000</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1232707</v>
      </c>
      <c r="H110" s="219"/>
    </row>
    <row r="111" spans="1:8" ht="20.100000000000001" customHeight="1">
      <c r="A111" s="625" t="s">
        <v>378</v>
      </c>
      <c r="B111" s="226"/>
      <c r="C111" s="226"/>
      <c r="D111" s="226"/>
      <c r="E111" s="226"/>
      <c r="F111" s="232" t="s">
        <v>379</v>
      </c>
      <c r="G111" s="570">
        <f>100000+2000-'[2]Rev_Pivot for completing Exh D'!$C$58-'[2]Rev_Pivot for completing Exh D'!$C$59</f>
        <v>199000</v>
      </c>
      <c r="H111" s="219"/>
    </row>
    <row r="112" spans="1:8" ht="20.100000000000001" customHeight="1">
      <c r="A112" s="625" t="s">
        <v>380</v>
      </c>
      <c r="B112" s="226"/>
      <c r="C112" s="226"/>
      <c r="D112" s="226"/>
      <c r="E112" s="226"/>
      <c r="F112" s="232" t="s">
        <v>381</v>
      </c>
      <c r="G112" s="570">
        <v>9000</v>
      </c>
      <c r="H112" s="219"/>
    </row>
    <row r="113" spans="1:8" ht="20.100000000000001" customHeight="1">
      <c r="A113" s="625" t="s">
        <v>382</v>
      </c>
      <c r="B113" s="226"/>
      <c r="C113" s="226"/>
      <c r="D113" s="226"/>
      <c r="E113" s="226"/>
      <c r="F113" s="232" t="s">
        <v>383</v>
      </c>
      <c r="G113" s="1337">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1440707</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581191</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500</v>
      </c>
      <c r="H125" s="219"/>
    </row>
    <row r="126" spans="1:8" ht="20.100000000000001" customHeight="1">
      <c r="A126" s="625" t="s">
        <v>395</v>
      </c>
      <c r="B126" s="226"/>
      <c r="C126" s="226"/>
      <c r="D126" s="226"/>
      <c r="E126" s="226"/>
      <c r="F126" s="232" t="s">
        <v>396</v>
      </c>
      <c r="G126" s="570">
        <f>345000+125000</f>
        <v>470000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1051691</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675000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4" t="s">
        <v>734</v>
      </c>
      <c r="B138" s="226"/>
      <c r="C138" s="226"/>
      <c r="D138" s="226"/>
      <c r="E138" s="226"/>
      <c r="F138" s="1255" t="s">
        <v>733</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675000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90558209.664000005</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673902.75</v>
      </c>
      <c r="H148" s="219"/>
    </row>
    <row r="149" spans="1:8" ht="20.100000000000001" customHeight="1">
      <c r="A149" s="625" t="s">
        <v>417</v>
      </c>
      <c r="B149" s="219"/>
      <c r="C149" s="219"/>
      <c r="D149" s="219"/>
      <c r="E149" s="219"/>
      <c r="F149" s="232" t="s">
        <v>418</v>
      </c>
      <c r="G149" s="574">
        <v>1063966</v>
      </c>
      <c r="H149" s="219"/>
    </row>
    <row r="150" spans="1:8" ht="20.100000000000001" customHeight="1">
      <c r="A150" s="625" t="s">
        <v>419</v>
      </c>
      <c r="B150" s="219"/>
      <c r="C150" s="219"/>
      <c r="D150" s="219"/>
      <c r="E150" s="219"/>
      <c r="F150" s="232" t="s">
        <v>420</v>
      </c>
      <c r="G150" s="574">
        <v>4194712.57</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19911667.829999998</v>
      </c>
      <c r="H153" s="219"/>
    </row>
    <row r="154" spans="1:8" ht="20.100000000000001" customHeight="1">
      <c r="A154" s="625" t="s">
        <v>427</v>
      </c>
      <c r="B154" s="226"/>
      <c r="C154" s="226"/>
      <c r="D154" s="226"/>
      <c r="E154" s="226"/>
      <c r="F154" s="232" t="s">
        <v>428</v>
      </c>
      <c r="G154" s="574">
        <v>2725000</v>
      </c>
      <c r="H154" s="219"/>
    </row>
    <row r="155" spans="1:8" ht="20.100000000000001" customHeight="1">
      <c r="A155" s="625" t="s">
        <v>429</v>
      </c>
      <c r="B155" s="226"/>
      <c r="C155" s="226"/>
      <c r="D155" s="226"/>
      <c r="E155" s="226"/>
      <c r="F155" s="232" t="s">
        <v>430</v>
      </c>
      <c r="G155" s="574">
        <v>30000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10485761.600000001</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44000</v>
      </c>
      <c r="H167" s="219"/>
    </row>
    <row r="168" spans="1:8" ht="20.100000000000001" customHeight="1">
      <c r="A168" s="625" t="s">
        <v>454</v>
      </c>
      <c r="B168" s="226"/>
      <c r="C168" s="226"/>
      <c r="D168" s="226"/>
      <c r="E168" s="226"/>
      <c r="F168" s="232" t="s">
        <v>455</v>
      </c>
      <c r="G168" s="574">
        <v>11576742.5</v>
      </c>
      <c r="H168" s="219"/>
    </row>
    <row r="169" spans="1:8" ht="20.100000000000001" customHeight="1">
      <c r="A169" s="625" t="s">
        <v>456</v>
      </c>
      <c r="B169" s="226"/>
      <c r="C169" s="226"/>
      <c r="D169" s="226"/>
      <c r="E169" s="226"/>
      <c r="F169" s="232" t="s">
        <v>457</v>
      </c>
      <c r="G169" s="574">
        <v>69104</v>
      </c>
      <c r="H169" s="219"/>
    </row>
    <row r="170" spans="1:8" ht="20.100000000000001" customHeight="1">
      <c r="A170" s="625" t="s">
        <v>458</v>
      </c>
      <c r="B170" s="226"/>
      <c r="C170" s="226"/>
      <c r="D170" s="226"/>
      <c r="E170" s="226"/>
      <c r="F170" s="232" t="s">
        <v>459</v>
      </c>
      <c r="G170" s="574">
        <v>33310</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c r="H172" s="219"/>
    </row>
    <row r="173" spans="1:8" ht="20.100000000000001" customHeight="1">
      <c r="A173" s="625" t="s">
        <v>464</v>
      </c>
      <c r="B173" s="226"/>
      <c r="C173" s="226"/>
      <c r="D173" s="226"/>
      <c r="E173" s="226"/>
      <c r="F173" s="235">
        <v>56001</v>
      </c>
      <c r="G173" s="574">
        <v>4750000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50000</v>
      </c>
      <c r="H177" s="219"/>
    </row>
    <row r="178" spans="1:8" ht="20.100000000000001" customHeight="1">
      <c r="A178" s="634" t="s">
        <v>471</v>
      </c>
      <c r="B178" s="219"/>
      <c r="C178" s="219"/>
      <c r="D178" s="219"/>
      <c r="E178" s="219"/>
      <c r="F178" s="253" t="s">
        <v>472</v>
      </c>
      <c r="G178" s="574">
        <v>130000</v>
      </c>
      <c r="H178" s="219"/>
    </row>
    <row r="179" spans="1:8" ht="20.100000000000001" customHeight="1">
      <c r="A179" s="625" t="s">
        <v>473</v>
      </c>
      <c r="B179" s="226"/>
      <c r="C179" s="226"/>
      <c r="D179" s="226"/>
      <c r="E179" s="226"/>
      <c r="F179" s="232" t="s">
        <v>474</v>
      </c>
      <c r="G179" s="574">
        <v>0</v>
      </c>
      <c r="H179" s="219"/>
    </row>
    <row r="180" spans="1:8" ht="20.100000000000001" customHeight="1">
      <c r="A180" s="625" t="s">
        <v>475</v>
      </c>
      <c r="B180" s="226"/>
      <c r="C180" s="226"/>
      <c r="D180" s="226"/>
      <c r="E180" s="226"/>
      <c r="F180" s="232" t="s">
        <v>476</v>
      </c>
      <c r="G180" s="574">
        <v>275000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v>4046016.5</v>
      </c>
      <c r="H186" s="219"/>
    </row>
    <row r="187" spans="1:8" ht="20.100000000000001" customHeight="1">
      <c r="A187" s="625" t="s">
        <v>489</v>
      </c>
      <c r="B187" s="226"/>
      <c r="C187" s="226"/>
      <c r="D187" s="226"/>
      <c r="E187" s="226"/>
      <c r="F187" s="232" t="s">
        <v>490</v>
      </c>
      <c r="G187" s="574">
        <v>5597321.5</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6203486</v>
      </c>
      <c r="H192" s="219"/>
    </row>
    <row r="193" spans="1:8" ht="20.100000000000001" customHeight="1">
      <c r="A193" s="625" t="s">
        <v>500</v>
      </c>
      <c r="B193" s="226"/>
      <c r="C193" s="226"/>
      <c r="D193" s="226"/>
      <c r="E193" s="226"/>
      <c r="F193" s="232" t="s">
        <v>501</v>
      </c>
      <c r="G193" s="574">
        <v>307490</v>
      </c>
      <c r="H193" s="219"/>
    </row>
    <row r="194" spans="1:8" ht="20.100000000000001" customHeight="1">
      <c r="A194" s="625" t="s">
        <v>502</v>
      </c>
      <c r="B194" s="226"/>
      <c r="C194" s="226"/>
      <c r="D194" s="226"/>
      <c r="E194" s="226"/>
      <c r="F194" s="232" t="s">
        <v>503</v>
      </c>
      <c r="G194" s="574">
        <v>-2000000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70167481.25</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243983.8</v>
      </c>
      <c r="H200" s="219"/>
    </row>
    <row r="201" spans="1:8" ht="20.100000000000001" customHeight="1">
      <c r="A201" s="625" t="s">
        <v>508</v>
      </c>
      <c r="B201" s="226"/>
      <c r="C201" s="226"/>
      <c r="D201" s="226"/>
      <c r="E201" s="226"/>
      <c r="F201" s="232" t="s">
        <v>509</v>
      </c>
      <c r="G201" s="574">
        <v>149056</v>
      </c>
      <c r="H201" s="219"/>
    </row>
    <row r="202" spans="1:8" ht="20.100000000000001" customHeight="1">
      <c r="A202" s="625" t="s">
        <v>510</v>
      </c>
      <c r="B202" s="226"/>
      <c r="C202" s="226"/>
      <c r="D202" s="226"/>
      <c r="E202" s="226"/>
      <c r="F202" s="232" t="s">
        <v>511</v>
      </c>
      <c r="G202" s="574">
        <v>703423</v>
      </c>
      <c r="H202" s="219"/>
    </row>
    <row r="203" spans="1:8" ht="20.100000000000001" customHeight="1">
      <c r="A203" s="625" t="s">
        <v>512</v>
      </c>
      <c r="B203" s="226"/>
      <c r="C203" s="226"/>
      <c r="D203" s="226"/>
      <c r="E203" s="226"/>
      <c r="F203" s="232" t="s">
        <v>513</v>
      </c>
      <c r="G203" s="574">
        <v>210386.24</v>
      </c>
      <c r="H203" s="219"/>
    </row>
    <row r="204" spans="1:8" ht="20.100000000000001" customHeight="1">
      <c r="A204" s="625" t="s">
        <v>514</v>
      </c>
      <c r="B204" s="226"/>
      <c r="C204" s="226"/>
      <c r="D204" s="226"/>
      <c r="E204" s="226"/>
      <c r="F204" s="232" t="s">
        <v>515</v>
      </c>
      <c r="G204" s="574">
        <v>972224</v>
      </c>
      <c r="H204" s="219"/>
    </row>
    <row r="205" spans="1:8" ht="20.100000000000001" customHeight="1">
      <c r="A205" s="625" t="s">
        <v>516</v>
      </c>
      <c r="B205" s="226"/>
      <c r="C205" s="226"/>
      <c r="D205" s="226"/>
      <c r="E205" s="226"/>
      <c r="F205" s="232" t="s">
        <v>517</v>
      </c>
      <c r="G205" s="574">
        <v>80132</v>
      </c>
      <c r="H205" s="219"/>
    </row>
    <row r="206" spans="1:8" ht="20.100000000000001" customHeight="1">
      <c r="A206" s="625" t="s">
        <v>732</v>
      </c>
      <c r="B206" s="226"/>
      <c r="C206" s="226"/>
      <c r="D206" s="226"/>
      <c r="E206" s="226"/>
      <c r="F206" s="1250">
        <v>63100</v>
      </c>
      <c r="G206" s="574">
        <v>0</v>
      </c>
      <c r="H206" s="219"/>
    </row>
    <row r="207" spans="1:8" ht="20.100000000000001" customHeight="1">
      <c r="A207" s="625" t="s">
        <v>518</v>
      </c>
      <c r="B207" s="226"/>
      <c r="C207" s="226"/>
      <c r="D207" s="226"/>
      <c r="E207" s="226"/>
      <c r="F207" s="232" t="s">
        <v>519</v>
      </c>
      <c r="G207" s="574">
        <v>2205355</v>
      </c>
      <c r="H207" s="219"/>
    </row>
    <row r="208" spans="1:8" ht="20.100000000000001" customHeight="1">
      <c r="A208" s="625" t="s">
        <v>520</v>
      </c>
      <c r="B208" s="226"/>
      <c r="C208" s="226"/>
      <c r="D208" s="226"/>
      <c r="E208" s="226"/>
      <c r="F208" s="232" t="s">
        <v>521</v>
      </c>
      <c r="G208" s="574"/>
      <c r="H208" s="219"/>
    </row>
    <row r="209" spans="1:8" ht="20.100000000000001" customHeight="1">
      <c r="A209" s="625" t="s">
        <v>522</v>
      </c>
      <c r="B209" s="226"/>
      <c r="C209" s="226"/>
      <c r="D209" s="226"/>
      <c r="E209" s="226"/>
      <c r="F209" s="232" t="s">
        <v>523</v>
      </c>
      <c r="G209" s="574">
        <f>+'[3]Pivot Exhibit D'!C48</f>
        <v>318500</v>
      </c>
      <c r="H209" s="219"/>
    </row>
    <row r="210" spans="1:8" ht="20.100000000000001" customHeight="1">
      <c r="A210" s="625" t="s">
        <v>524</v>
      </c>
      <c r="B210" s="226"/>
      <c r="C210" s="226"/>
      <c r="D210" s="226"/>
      <c r="E210" s="226"/>
      <c r="F210" s="232" t="s">
        <v>525</v>
      </c>
      <c r="G210" s="574">
        <f>+'[3]Pivot Exhibit D'!C49</f>
        <v>577067</v>
      </c>
      <c r="H210" s="219"/>
    </row>
    <row r="211" spans="1:8" ht="20.100000000000001" customHeight="1">
      <c r="A211" s="625" t="s">
        <v>526</v>
      </c>
      <c r="B211" s="226"/>
      <c r="C211" s="226"/>
      <c r="D211" s="226"/>
      <c r="E211" s="226"/>
      <c r="F211" s="232" t="s">
        <v>527</v>
      </c>
      <c r="G211" s="574">
        <f>+'[3]Pivot Exhibit D'!C50</f>
        <v>2437478</v>
      </c>
      <c r="H211" s="219"/>
    </row>
    <row r="212" spans="1:8" ht="20.100000000000001" customHeight="1">
      <c r="A212" s="625" t="s">
        <v>528</v>
      </c>
      <c r="B212" s="226"/>
      <c r="C212" s="226"/>
      <c r="D212" s="226"/>
      <c r="E212" s="226"/>
      <c r="F212" s="232" t="s">
        <v>529</v>
      </c>
      <c r="G212" s="574">
        <f>+'[3]Pivot Exhibit D'!C51</f>
        <v>153500</v>
      </c>
      <c r="H212" s="219"/>
    </row>
    <row r="213" spans="1:8" ht="20.100000000000001" customHeight="1">
      <c r="A213" s="625" t="s">
        <v>530</v>
      </c>
      <c r="B213" s="226"/>
      <c r="C213" s="226"/>
      <c r="D213" s="226"/>
      <c r="E213" s="226"/>
      <c r="F213" s="232" t="s">
        <v>531</v>
      </c>
      <c r="G213" s="574">
        <f>+'[3]Pivot Exhibit D'!C52</f>
        <v>89000</v>
      </c>
      <c r="H213" s="219"/>
    </row>
    <row r="214" spans="1:8" ht="20.100000000000001" customHeight="1">
      <c r="A214" s="625" t="s">
        <v>532</v>
      </c>
      <c r="B214" s="219"/>
      <c r="C214" s="219"/>
      <c r="D214" s="219"/>
      <c r="E214" s="219"/>
      <c r="F214" s="232" t="s">
        <v>533</v>
      </c>
      <c r="G214" s="574">
        <f>+'[3]Pivot Exhibit D'!C53</f>
        <v>13200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f>+'[3]Pivot Exhibit D'!$C$68</f>
        <v>3371994.5411</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f>+'[3]Pivot Exhibit D'!$C$76</f>
        <v>674532</v>
      </c>
      <c r="H219" s="219"/>
    </row>
    <row r="220" spans="1:8" ht="20.100000000000001" customHeight="1">
      <c r="A220" s="625" t="s">
        <v>542</v>
      </c>
      <c r="B220" s="226"/>
      <c r="C220" s="226"/>
      <c r="D220" s="226"/>
      <c r="E220" s="226"/>
      <c r="F220" s="232" t="s">
        <v>543</v>
      </c>
      <c r="G220" s="574">
        <f>+'[3]Pivot Exhibit D'!$C$82</f>
        <v>1351931.7200000002</v>
      </c>
      <c r="H220" s="219"/>
    </row>
    <row r="221" spans="1:8" ht="20.100000000000001" customHeight="1">
      <c r="A221" s="625" t="s">
        <v>544</v>
      </c>
      <c r="B221" s="219"/>
      <c r="C221" s="219"/>
      <c r="D221" s="219"/>
      <c r="E221" s="219"/>
      <c r="F221" s="253" t="s">
        <v>545</v>
      </c>
      <c r="G221" s="574">
        <f>+'[3]Pivot Exhibit D'!$C$87+'[3]Pivot Exhibit D'!$C$83</f>
        <v>2380497.5</v>
      </c>
      <c r="H221" s="219"/>
    </row>
    <row r="222" spans="1:8" ht="20.100000000000001" customHeight="1">
      <c r="A222" s="625" t="s">
        <v>546</v>
      </c>
      <c r="B222" s="226"/>
      <c r="C222" s="226"/>
      <c r="D222" s="226"/>
      <c r="E222" s="226"/>
      <c r="F222" s="232" t="s">
        <v>547</v>
      </c>
      <c r="G222" s="574">
        <f>+'[3]Pivot Exhibit D'!$C$93</f>
        <v>279477</v>
      </c>
      <c r="H222" s="219"/>
    </row>
    <row r="223" spans="1:8" ht="20.100000000000001" customHeight="1">
      <c r="A223" s="625" t="s">
        <v>548</v>
      </c>
      <c r="B223" s="226"/>
      <c r="C223" s="226"/>
      <c r="D223" s="226"/>
      <c r="E223" s="226"/>
      <c r="F223" s="232" t="s">
        <v>549</v>
      </c>
      <c r="G223" s="574">
        <f>+'[3]Pivot Exhibit D'!$C$100</f>
        <v>423402.2</v>
      </c>
      <c r="H223" s="219"/>
    </row>
    <row r="224" spans="1:8" ht="20.100000000000001" customHeight="1">
      <c r="A224" s="626" t="s">
        <v>550</v>
      </c>
      <c r="B224" s="229"/>
      <c r="C224" s="229"/>
      <c r="D224" s="229"/>
      <c r="E224" s="229"/>
      <c r="F224" s="245" t="s">
        <v>551</v>
      </c>
      <c r="G224" s="574">
        <f>+'[3]Pivot Exhibit D'!$C$107</f>
        <v>129031</v>
      </c>
      <c r="H224" s="219"/>
    </row>
    <row r="225" spans="1:9" ht="20.100000000000001" customHeight="1">
      <c r="A225" s="625" t="s">
        <v>552</v>
      </c>
      <c r="B225" s="226"/>
      <c r="C225" s="226"/>
      <c r="D225" s="226"/>
      <c r="E225" s="226"/>
      <c r="F225" s="250" t="s">
        <v>553</v>
      </c>
      <c r="G225" s="574">
        <f>+'[3]Pivot Exhibit D'!$C$110</f>
        <v>61979</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f>+'[3]Pivot Exhibit D'!$C$112</f>
        <v>746500</v>
      </c>
      <c r="H228" s="219"/>
    </row>
    <row r="229" spans="1:9" ht="20.100000000000001" customHeight="1">
      <c r="A229" s="625" t="s">
        <v>560</v>
      </c>
      <c r="B229" s="226"/>
      <c r="C229" s="226"/>
      <c r="D229" s="226"/>
      <c r="E229" s="226"/>
      <c r="F229" s="232" t="s">
        <v>561</v>
      </c>
      <c r="G229" s="574">
        <f>+'[3]Pivot Exhibit D'!$C$114</f>
        <v>26100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f>+'[3]Pivot Exhibit D'!$C$127</f>
        <v>457200</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8">
        <f>+'[3]Pivot Exhibit D'!$C$129</f>
        <v>821318</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18877268.0011</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f>+'[3]Pivot Exhibit D Capital'!$C$6</f>
        <v>1061961</v>
      </c>
      <c r="H244" s="219"/>
    </row>
    <row r="245" spans="1:10" ht="20.100000000000001" customHeight="1">
      <c r="A245" s="626" t="s">
        <v>582</v>
      </c>
      <c r="B245" s="229"/>
      <c r="C245" s="229"/>
      <c r="D245" s="229"/>
      <c r="E245" s="229"/>
      <c r="F245" s="245" t="s">
        <v>583</v>
      </c>
      <c r="G245" s="574">
        <v>0</v>
      </c>
      <c r="H245" s="219"/>
    </row>
    <row r="246" spans="1:10" ht="20.100000000000001" customHeight="1">
      <c r="A246" s="625" t="s">
        <v>584</v>
      </c>
      <c r="B246" s="226"/>
      <c r="C246" s="226"/>
      <c r="D246" s="226"/>
      <c r="E246" s="226"/>
      <c r="F246" s="232" t="s">
        <v>585</v>
      </c>
      <c r="G246" s="574">
        <f>+'[3]Pivot Exhibit D Capital'!$C$8</f>
        <v>315500</v>
      </c>
      <c r="H246" s="219"/>
    </row>
    <row r="247" spans="1:10" ht="20.100000000000001" customHeight="1">
      <c r="A247" s="626" t="s">
        <v>586</v>
      </c>
      <c r="B247" s="229"/>
      <c r="C247" s="229"/>
      <c r="D247" s="229"/>
      <c r="E247" s="229"/>
      <c r="F247" s="1296" t="s">
        <v>587</v>
      </c>
      <c r="G247" s="574">
        <v>0</v>
      </c>
      <c r="H247" s="662"/>
      <c r="I247" s="222"/>
    </row>
    <row r="248" spans="1:10" ht="20.100000000000001" customHeight="1">
      <c r="A248" s="1310" t="s">
        <v>763</v>
      </c>
      <c r="B248" s="1311"/>
      <c r="C248" s="1311"/>
      <c r="D248" s="1311"/>
      <c r="E248" s="1311"/>
      <c r="F248" s="1339">
        <v>73001</v>
      </c>
      <c r="G248" s="574">
        <v>0</v>
      </c>
      <c r="H248" s="662"/>
      <c r="I248" s="222"/>
    </row>
    <row r="249" spans="1:10" ht="20.100000000000001" customHeight="1">
      <c r="A249" s="1310" t="s">
        <v>764</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731</v>
      </c>
      <c r="B251" s="229"/>
      <c r="C251" s="229"/>
      <c r="D251" s="229"/>
      <c r="E251" s="229"/>
      <c r="F251" s="252">
        <v>73100</v>
      </c>
      <c r="G251" s="574">
        <f>+'[3]Pivot Exhibit D Capital'!$C$10</f>
        <v>136000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1513461</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90558210.251100004</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566008.42000000004</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2448665</v>
      </c>
      <c r="H271" s="219"/>
    </row>
    <row r="272" spans="1:9" ht="20.100000000000001" customHeight="1">
      <c r="A272" s="625" t="s">
        <v>609</v>
      </c>
      <c r="B272" s="226"/>
      <c r="C272" s="226"/>
      <c r="D272" s="226"/>
      <c r="E272" s="226"/>
      <c r="F272" s="270">
        <v>31100</v>
      </c>
      <c r="G272" s="763">
        <f>19338877-2448665-566008</f>
        <v>16324204</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19338877.420000002</v>
      </c>
      <c r="H274" s="219"/>
    </row>
    <row r="275" spans="1:12" ht="20.100000000000001" customHeight="1">
      <c r="A275" s="627"/>
      <c r="B275" s="226"/>
      <c r="C275" s="226"/>
      <c r="D275" s="226"/>
      <c r="E275" s="226"/>
      <c r="F275" s="270"/>
      <c r="G275" s="269"/>
      <c r="H275" s="219"/>
    </row>
    <row r="276" spans="1:12" ht="20.100000000000001" customHeight="1" thickBot="1">
      <c r="A276" s="640" t="s">
        <v>765</v>
      </c>
      <c r="B276" s="219"/>
      <c r="C276" s="219"/>
      <c r="D276" s="219"/>
      <c r="E276" s="219"/>
      <c r="F276" s="253">
        <v>30800</v>
      </c>
      <c r="G276" s="575">
        <v>-46692282</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-27353404.579999998</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2022-06-24T16:05:54Z</cp:lastPrinted>
  <dcterms:created xsi:type="dcterms:W3CDTF">2005-03-22T15:46:43Z</dcterms:created>
  <dcterms:modified xsi:type="dcterms:W3CDTF">2022-06-30T14:53:29Z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