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1-22 OPERATING BUDGET\Received from Colleges\"/>
    </mc:Choice>
  </mc:AlternateContent>
  <bookViews>
    <workbookView xWindow="0" yWindow="0" windowWidth="28800" windowHeight="12000" tabRatio="933" firstSheet="1"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 r:id="rId17"/>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A'!$B$1:$F$51</definedName>
    <definedName name="_xlnm.Print_Area" localSheetId="5">'EXHIBIT B'!$A$1:$I$42</definedName>
    <definedName name="_xlnm.Print_Area" localSheetId="6">'EXHIBIT C'!$A$1:$I$70</definedName>
    <definedName name="_xlnm.Print_Area" localSheetId="7">'EXHIBIT C(2)'!$A$1:$E$34</definedName>
    <definedName name="_xlnm.Print_Area" localSheetId="8">'EXHIBIT D'!$A$2:$G$274</definedName>
    <definedName name="_xlnm.Print_Area" localSheetId="9">'EXHIBIT E'!$A$3:$E$21</definedName>
    <definedName name="_xlnm.Print_Area" localSheetId="10">'EXHIBIT F'!$A$1:$C$52</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VLOOKUP!$A$1:$AP$141</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14" i="15" l="1"/>
  <c r="D13" i="15"/>
  <c r="F13" i="6" l="1"/>
  <c r="S108" i="23" l="1"/>
  <c r="V108" i="23"/>
  <c r="AG108" i="23"/>
  <c r="AB108" i="23" s="1"/>
  <c r="Z108" i="23" s="1"/>
  <c r="E48" i="23" l="1"/>
  <c r="E49" i="23"/>
  <c r="D52" i="23"/>
  <c r="E50" i="23" l="1"/>
  <c r="G10" i="6"/>
  <c r="G11" i="6"/>
  <c r="G12" i="6"/>
  <c r="G13" i="6"/>
  <c r="G14" i="6"/>
  <c r="G15" i="6"/>
  <c r="F32" i="6"/>
  <c r="G32" i="6"/>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s="1"/>
  <c r="G26" i="7" s="1"/>
  <c r="B34" i="5"/>
  <c r="E39" i="6"/>
  <c r="F39" i="6"/>
  <c r="G37" i="7" s="1"/>
  <c r="B35" i="5"/>
  <c r="E40" i="6"/>
  <c r="F40" i="6" s="1"/>
  <c r="G38" i="7" s="1"/>
  <c r="B37" i="5"/>
  <c r="E41" i="6"/>
  <c r="F41" i="6" s="1"/>
  <c r="G39" i="7" s="1"/>
  <c r="B38" i="5"/>
  <c r="E42" i="6"/>
  <c r="F42" i="6"/>
  <c r="G40" i="7" s="1"/>
  <c r="G71" i="7"/>
  <c r="D102" i="3"/>
  <c r="G75" i="7" s="1"/>
  <c r="G96" i="7"/>
  <c r="G105" i="7"/>
  <c r="G115" i="7"/>
  <c r="G119" i="7"/>
  <c r="G128" i="7"/>
  <c r="G141" i="7"/>
  <c r="C71" i="23"/>
  <c r="D71" i="23" s="1"/>
  <c r="E71" i="23" s="1"/>
  <c r="F71" i="23" s="1"/>
  <c r="A108" i="23"/>
  <c r="AD108" i="23" s="1"/>
  <c r="A109" i="23"/>
  <c r="A110" i="23"/>
  <c r="AD110" i="23" s="1"/>
  <c r="A111" i="23"/>
  <c r="AD111" i="23" s="1"/>
  <c r="D108" i="23"/>
  <c r="G108" i="23"/>
  <c r="J108" i="23"/>
  <c r="M108" i="23"/>
  <c r="P108" i="23"/>
  <c r="D109" i="23"/>
  <c r="G109" i="23"/>
  <c r="J109" i="23"/>
  <c r="M109" i="23"/>
  <c r="P109" i="23"/>
  <c r="S109" i="23"/>
  <c r="D110" i="23"/>
  <c r="G110" i="23"/>
  <c r="J110" i="23"/>
  <c r="M110" i="23"/>
  <c r="P110" i="23"/>
  <c r="S110" i="23"/>
  <c r="D111" i="23"/>
  <c r="G111" i="23"/>
  <c r="J111" i="23"/>
  <c r="M111" i="23"/>
  <c r="P111" i="23"/>
  <c r="S111" i="23"/>
  <c r="A112" i="23"/>
  <c r="AD112" i="23" s="1"/>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B136" i="23"/>
  <c r="E136" i="23"/>
  <c r="F136" i="23"/>
  <c r="H136" i="23"/>
  <c r="I136" i="23"/>
  <c r="K136" i="23"/>
  <c r="L136" i="23"/>
  <c r="N136" i="23"/>
  <c r="O136" i="23"/>
  <c r="Q136" i="23"/>
  <c r="R136" i="23"/>
  <c r="C52" i="23"/>
  <c r="E51" i="23"/>
  <c r="E47" i="23"/>
  <c r="E43" i="23"/>
  <c r="E44" i="23"/>
  <c r="E45" i="23"/>
  <c r="E46"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C126" i="3"/>
  <c r="C130" i="3"/>
  <c r="E40" i="3"/>
  <c r="E64" i="3" s="1"/>
  <c r="B61" i="23"/>
  <c r="A47" i="23"/>
  <c r="A44" i="23"/>
  <c r="A43" i="23"/>
  <c r="A60" i="23"/>
  <c r="E30" i="5"/>
  <c r="E29" i="5"/>
  <c r="A59" i="23"/>
  <c r="AE136" i="23"/>
  <c r="A73" i="23"/>
  <c r="C61" i="15"/>
  <c r="A66" i="23"/>
  <c r="C75" i="23"/>
  <c r="D75" i="23" s="1"/>
  <c r="E75" i="23" s="1"/>
  <c r="F75" i="23" s="1"/>
  <c r="A93" i="23"/>
  <c r="A92" i="23"/>
  <c r="A91" i="23"/>
  <c r="A90" i="23"/>
  <c r="A89" i="23"/>
  <c r="A88" i="23"/>
  <c r="A87" i="23"/>
  <c r="A86" i="23"/>
  <c r="A85" i="23"/>
  <c r="A84" i="23"/>
  <c r="A83" i="23"/>
  <c r="A82" i="23"/>
  <c r="A81" i="23"/>
  <c r="A80" i="23"/>
  <c r="A79" i="23"/>
  <c r="A78" i="23"/>
  <c r="A77" i="23"/>
  <c r="A76" i="23"/>
  <c r="A75" i="23"/>
  <c r="A74" i="23"/>
  <c r="A72" i="23"/>
  <c r="A71" i="23"/>
  <c r="A70" i="23"/>
  <c r="A69" i="23"/>
  <c r="A68" i="23"/>
  <c r="A67" i="23"/>
  <c r="A38" i="5"/>
  <c r="A37" i="5"/>
  <c r="A35" i="5"/>
  <c r="A34" i="5"/>
  <c r="A31" i="5"/>
  <c r="A30" i="5"/>
  <c r="A29" i="5"/>
  <c r="B3" i="8"/>
  <c r="A28" i="18"/>
  <c r="A25" i="18"/>
  <c r="A22" i="18"/>
  <c r="A19" i="18"/>
  <c r="A16" i="18"/>
  <c r="A13" i="18"/>
  <c r="A10" i="18"/>
  <c r="E77" i="22"/>
  <c r="D77" i="22"/>
  <c r="D64" i="3"/>
  <c r="AD117" i="23"/>
  <c r="B64" i="23"/>
  <c r="B56" i="23"/>
  <c r="D104" i="3"/>
  <c r="G81" i="7" s="1"/>
  <c r="C35" i="23"/>
  <c r="E103" i="3"/>
  <c r="D103" i="3" s="1"/>
  <c r="F103" i="3" s="1"/>
  <c r="B94" i="23"/>
  <c r="C66" i="23"/>
  <c r="D66" i="23" s="1"/>
  <c r="C67" i="23"/>
  <c r="D67" i="23" s="1"/>
  <c r="E67" i="23" s="1"/>
  <c r="F67" i="23" s="1"/>
  <c r="C68" i="23"/>
  <c r="D68" i="23" s="1"/>
  <c r="E68" i="23" s="1"/>
  <c r="F68" i="23" s="1"/>
  <c r="C69" i="23"/>
  <c r="D69" i="23" s="1"/>
  <c r="E69" i="23" s="1"/>
  <c r="F69" i="23" s="1"/>
  <c r="C70" i="23"/>
  <c r="D70" i="23" s="1"/>
  <c r="E70" i="23" s="1"/>
  <c r="F70" i="23" s="1"/>
  <c r="C72" i="23"/>
  <c r="D72" i="23" s="1"/>
  <c r="E72" i="23" s="1"/>
  <c r="F72" i="23" s="1"/>
  <c r="C73" i="23"/>
  <c r="D73" i="23" s="1"/>
  <c r="E73" i="23" s="1"/>
  <c r="F73" i="23" s="1"/>
  <c r="C74" i="23"/>
  <c r="D74" i="23" s="1"/>
  <c r="E74" i="23" s="1"/>
  <c r="F74" i="23" s="1"/>
  <c r="C76" i="23"/>
  <c r="D76" i="23" s="1"/>
  <c r="E76" i="23" s="1"/>
  <c r="F76" i="23" s="1"/>
  <c r="C77" i="23"/>
  <c r="C78" i="23"/>
  <c r="D78" i="23" s="1"/>
  <c r="E78" i="23" s="1"/>
  <c r="C79" i="23"/>
  <c r="D79" i="23" s="1"/>
  <c r="E79" i="23" s="1"/>
  <c r="F79" i="23" s="1"/>
  <c r="C80" i="23"/>
  <c r="D80" i="23" s="1"/>
  <c r="E80" i="23" s="1"/>
  <c r="C81" i="23"/>
  <c r="D81" i="23" s="1"/>
  <c r="E81" i="23" s="1"/>
  <c r="F81" i="23" s="1"/>
  <c r="C82" i="23"/>
  <c r="D82" i="23" s="1"/>
  <c r="E82" i="23" s="1"/>
  <c r="C83" i="23"/>
  <c r="D83" i="23" s="1"/>
  <c r="E83" i="23" s="1"/>
  <c r="F83" i="23" s="1"/>
  <c r="C84" i="23"/>
  <c r="D84" i="23" s="1"/>
  <c r="E84" i="23" s="1"/>
  <c r="F84" i="23" s="1"/>
  <c r="C85" i="23"/>
  <c r="D85" i="23" s="1"/>
  <c r="E85" i="23" s="1"/>
  <c r="C86" i="23"/>
  <c r="D86" i="23" s="1"/>
  <c r="E86" i="23" s="1"/>
  <c r="C87" i="23"/>
  <c r="C88" i="23"/>
  <c r="D88" i="23" s="1"/>
  <c r="E88" i="23" s="1"/>
  <c r="F88" i="23" s="1"/>
  <c r="C89" i="23"/>
  <c r="D89" i="23" s="1"/>
  <c r="E89" i="23" s="1"/>
  <c r="F89" i="23" s="1"/>
  <c r="C90" i="23"/>
  <c r="D90" i="23" s="1"/>
  <c r="E90" i="23" s="1"/>
  <c r="C91" i="23"/>
  <c r="D91" i="23" s="1"/>
  <c r="E91" i="23" s="1"/>
  <c r="F91" i="23" s="1"/>
  <c r="C92" i="23"/>
  <c r="D92" i="23" s="1"/>
  <c r="E92" i="23" s="1"/>
  <c r="C93" i="23"/>
  <c r="D93" i="23" s="1"/>
  <c r="E93"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36" i="23"/>
  <c r="AA136" i="23"/>
  <c r="W136" i="23"/>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AG109" i="23"/>
  <c r="AB109" i="23" s="1"/>
  <c r="Z109"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4" i="7"/>
  <c r="E15" i="8"/>
  <c r="E36" i="6"/>
  <c r="D36" i="6"/>
  <c r="F36" i="6" s="1"/>
  <c r="D43" i="6"/>
  <c r="D26" i="6"/>
  <c r="E17" i="6"/>
  <c r="G20" i="5"/>
  <c r="H20" i="5"/>
  <c r="G19" i="5"/>
  <c r="H19" i="5"/>
  <c r="G22" i="5"/>
  <c r="H22" i="5"/>
  <c r="G23" i="5"/>
  <c r="H23" i="5"/>
  <c r="E20" i="12"/>
  <c r="E29" i="12"/>
  <c r="E30" i="12"/>
  <c r="G195" i="7"/>
  <c r="D21" i="8"/>
  <c r="E68" i="3"/>
  <c r="C94" i="12"/>
  <c r="B31" i="5"/>
  <c r="H31" i="5"/>
  <c r="I31" i="5" s="1"/>
  <c r="B30" i="5"/>
  <c r="G16" i="5"/>
  <c r="H16" i="5" s="1"/>
  <c r="G15" i="5"/>
  <c r="H15" i="5" s="1"/>
  <c r="D96" i="8"/>
  <c r="C96" i="8"/>
  <c r="B69" i="6"/>
  <c r="C93" i="3" s="1"/>
  <c r="E19" i="4"/>
  <c r="E69" i="3"/>
  <c r="E70" i="3"/>
  <c r="E71" i="3"/>
  <c r="E72" i="3"/>
  <c r="E73" i="3"/>
  <c r="B21" i="8"/>
  <c r="C21" i="8"/>
  <c r="E10" i="8"/>
  <c r="E12" i="8"/>
  <c r="E16" i="8"/>
  <c r="E17" i="8"/>
  <c r="E18" i="8"/>
  <c r="E19" i="8"/>
  <c r="E20" i="8"/>
  <c r="E36" i="4"/>
  <c r="C127" i="3" s="1"/>
  <c r="D33" i="4"/>
  <c r="B60" i="6"/>
  <c r="C96" i="3"/>
  <c r="E26" i="4"/>
  <c r="E16" i="4"/>
  <c r="G270" i="7"/>
  <c r="G274" i="7" s="1"/>
  <c r="C120" i="3" s="1"/>
  <c r="E67" i="22"/>
  <c r="D61" i="22"/>
  <c r="E14" i="8"/>
  <c r="G238" i="7"/>
  <c r="X136" i="23"/>
  <c r="E60" i="22"/>
  <c r="E70" i="22"/>
  <c r="E69" i="22"/>
  <c r="E68" i="22"/>
  <c r="D66" i="22"/>
  <c r="D68" i="22"/>
  <c r="H35" i="6"/>
  <c r="G33" i="7" s="1"/>
  <c r="H33" i="6"/>
  <c r="G31" i="7" s="1"/>
  <c r="H34" i="5"/>
  <c r="I34" i="5"/>
  <c r="E62" i="22"/>
  <c r="H38" i="5"/>
  <c r="I38" i="5"/>
  <c r="H30" i="5"/>
  <c r="I30" i="5" s="1"/>
  <c r="D69" i="22"/>
  <c r="C95" i="3"/>
  <c r="D87" i="23"/>
  <c r="E87" i="23" s="1"/>
  <c r="F87" i="23" s="1"/>
  <c r="H37" i="5"/>
  <c r="I37" i="5"/>
  <c r="D70" i="22"/>
  <c r="D17" i="6"/>
  <c r="F12" i="6"/>
  <c r="H12" i="6" s="1"/>
  <c r="G14" i="7" s="1"/>
  <c r="F11" i="6"/>
  <c r="H11" i="6" s="1"/>
  <c r="G13" i="7" s="1"/>
  <c r="F14" i="6"/>
  <c r="H13" i="6"/>
  <c r="G15" i="7" s="1"/>
  <c r="F15" i="6"/>
  <c r="E49" i="3" s="1"/>
  <c r="F10" i="6"/>
  <c r="H10" i="6" s="1"/>
  <c r="G12" i="7" s="1"/>
  <c r="E47" i="3"/>
  <c r="H32" i="6" l="1"/>
  <c r="H36" i="6" s="1"/>
  <c r="H14" i="6"/>
  <c r="G16" i="7" s="1"/>
  <c r="C113" i="3"/>
  <c r="C112" i="3"/>
  <c r="G256" i="7"/>
  <c r="E25" i="4" s="1"/>
  <c r="E28" i="4" s="1"/>
  <c r="E21" i="8"/>
  <c r="C114" i="3" s="1"/>
  <c r="T108" i="23"/>
  <c r="C121" i="3"/>
  <c r="C111" i="3"/>
  <c r="G30" i="7"/>
  <c r="G35" i="7" s="1"/>
  <c r="F43" i="6"/>
  <c r="C92" i="3"/>
  <c r="B70" i="6"/>
  <c r="E104" i="3"/>
  <c r="F104" i="3" s="1"/>
  <c r="H15" i="6"/>
  <c r="G17" i="7" s="1"/>
  <c r="E48" i="3"/>
  <c r="E46" i="3"/>
  <c r="E45" i="3"/>
  <c r="E74" i="3"/>
  <c r="F17" i="6"/>
  <c r="E50" i="3" s="1"/>
  <c r="E44" i="3"/>
  <c r="H29" i="5"/>
  <c r="I29" i="5" s="1"/>
  <c r="D125" i="15"/>
  <c r="C144" i="3" s="1"/>
  <c r="G28" i="7"/>
  <c r="G42" i="7"/>
  <c r="F26" i="6"/>
  <c r="D126" i="15"/>
  <c r="C128" i="3"/>
  <c r="C132" i="3" s="1"/>
  <c r="E120" i="15"/>
  <c r="F102" i="15"/>
  <c r="E138" i="15"/>
  <c r="D120" i="15"/>
  <c r="F120" i="15" s="1"/>
  <c r="F57" i="15"/>
  <c r="T132" i="23"/>
  <c r="T117" i="23"/>
  <c r="T110" i="23"/>
  <c r="T134" i="23"/>
  <c r="J136" i="23"/>
  <c r="T128" i="23"/>
  <c r="T127" i="23"/>
  <c r="T133" i="23"/>
  <c r="T123" i="23"/>
  <c r="T121" i="23"/>
  <c r="T116" i="23"/>
  <c r="F85" i="23"/>
  <c r="T120" i="23"/>
  <c r="M136" i="23"/>
  <c r="G136" i="23"/>
  <c r="S136" i="23"/>
  <c r="D68" i="3"/>
  <c r="D44" i="3" s="1"/>
  <c r="T130" i="23"/>
  <c r="AG136" i="23"/>
  <c r="F86" i="23"/>
  <c r="V136" i="23"/>
  <c r="T119" i="23"/>
  <c r="T118" i="23"/>
  <c r="T115" i="23"/>
  <c r="T114" i="23"/>
  <c r="T113" i="23"/>
  <c r="T112" i="23"/>
  <c r="T111" i="23"/>
  <c r="T109" i="23"/>
  <c r="T131" i="23"/>
  <c r="T129" i="23"/>
  <c r="T122" i="23"/>
  <c r="F93" i="23"/>
  <c r="T135" i="23"/>
  <c r="T126" i="23"/>
  <c r="T125" i="23"/>
  <c r="T124" i="23"/>
  <c r="Z136" i="23"/>
  <c r="AB136" i="23"/>
  <c r="F92" i="23"/>
  <c r="D48" i="3"/>
  <c r="D73" i="3"/>
  <c r="F73" i="3" s="1"/>
  <c r="G73" i="3" s="1"/>
  <c r="D136" i="23"/>
  <c r="P136" i="23"/>
  <c r="D69" i="3"/>
  <c r="D45" i="3" s="1"/>
  <c r="D72" i="3"/>
  <c r="F72" i="3" s="1"/>
  <c r="G72" i="3" s="1"/>
  <c r="D70" i="3"/>
  <c r="F70" i="3" s="1"/>
  <c r="G70" i="3" s="1"/>
  <c r="D77" i="23"/>
  <c r="E77" i="23" s="1"/>
  <c r="F77" i="23" s="1"/>
  <c r="E66" i="23"/>
  <c r="E52" i="23"/>
  <c r="AD109" i="23"/>
  <c r="C94" i="23"/>
  <c r="F80" i="23"/>
  <c r="F78" i="23"/>
  <c r="D71" i="3"/>
  <c r="F71" i="3" s="1"/>
  <c r="G71" i="3" s="1"/>
  <c r="D49" i="3"/>
  <c r="F49" i="3" s="1"/>
  <c r="G49" i="3" s="1"/>
  <c r="F82" i="23"/>
  <c r="F90" i="23"/>
  <c r="D47" i="3"/>
  <c r="F47" i="3" s="1"/>
  <c r="G47" i="3" s="1"/>
  <c r="D46" i="3"/>
  <c r="D35" i="23"/>
  <c r="G85" i="7"/>
  <c r="E102" i="3"/>
  <c r="D106" i="3"/>
  <c r="G19" i="7" l="1"/>
  <c r="F48" i="3"/>
  <c r="G48" i="3" s="1"/>
  <c r="H44" i="6"/>
  <c r="F46" i="3"/>
  <c r="G46" i="3" s="1"/>
  <c r="G44" i="7"/>
  <c r="G63" i="7" s="1"/>
  <c r="G143" i="7" s="1"/>
  <c r="E18" i="4" s="1"/>
  <c r="E21" i="4" s="1"/>
  <c r="E23" i="4" s="1"/>
  <c r="E44" i="4" s="1"/>
  <c r="C17" i="3" s="1"/>
  <c r="H17" i="6"/>
  <c r="H27" i="6" s="1"/>
  <c r="H46" i="6" s="1"/>
  <c r="F125" i="15"/>
  <c r="F45" i="3"/>
  <c r="G45" i="3" s="1"/>
  <c r="D136" i="15"/>
  <c r="D138" i="15" s="1"/>
  <c r="C137" i="3"/>
  <c r="C139" i="3"/>
  <c r="F126" i="15"/>
  <c r="C147" i="3"/>
  <c r="D50" i="3"/>
  <c r="F50" i="3" s="1"/>
  <c r="G50" i="3" s="1"/>
  <c r="AO108" i="23"/>
  <c r="AO111" i="23" s="1"/>
  <c r="AO114" i="23" s="1"/>
  <c r="AO115" i="23" s="1"/>
  <c r="AO117" i="23" s="1"/>
  <c r="D74" i="3"/>
  <c r="F74" i="3" s="1"/>
  <c r="G74" i="3" s="1"/>
  <c r="T136" i="23"/>
  <c r="F68" i="3"/>
  <c r="G68" i="3" s="1"/>
  <c r="F44" i="3"/>
  <c r="G44" i="3" s="1"/>
  <c r="F66" i="23"/>
  <c r="E94" i="23"/>
  <c r="D94" i="23"/>
  <c r="F69" i="3"/>
  <c r="G69" i="3" s="1"/>
  <c r="F94" i="23"/>
  <c r="E106" i="3"/>
  <c r="F102" i="3"/>
  <c r="F106" i="3" s="1"/>
  <c r="C34" i="3" l="1"/>
  <c r="F136" i="15"/>
  <c r="C153" i="3" s="1"/>
  <c r="D32" i="4"/>
  <c r="E35" i="4" s="1"/>
  <c r="E38" i="4" s="1"/>
  <c r="F138" i="15"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text>
        <r>
          <rPr>
            <sz val="10"/>
            <rFont val="Arial"/>
            <family val="2"/>
          </rPr>
          <t xml:space="preserve">Source: General Appropriations Act, Specific Appropriation 31.
en 5.5.21
</t>
        </r>
      </text>
    </comment>
    <comment ref="B65"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4"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text>
        <r>
          <rPr>
            <sz val="10"/>
            <rFont val="Arial"/>
            <family val="2"/>
          </rPr>
          <t xml:space="preserve">Comment:
    Upper Level FTE Resident, Cell Q93
</t>
        </r>
      </text>
    </comment>
    <comment ref="E107" authorId="9" shapeId="0">
      <text>
        <r>
          <rPr>
            <sz val="10"/>
            <rFont val="Arial"/>
            <family val="2"/>
          </rPr>
          <t>Comment:
    A &amp; P Resident, Cell B93
Resident A &amp; P Fee Paying FTE does not include non-Florida Resident FTE and Dual Enrolled FTE.</t>
        </r>
      </text>
    </comment>
    <comment ref="F107" authorId="10" shapeId="0">
      <text>
        <r>
          <rPr>
            <sz val="10"/>
            <rFont val="Arial"/>
            <family val="2"/>
          </rPr>
          <t>[Threaded comment]
Comment:
    A &amp; P FTE Estimated Non-Florida Resident, Cell P54</t>
        </r>
      </text>
    </comment>
    <comment ref="H107" authorId="11" shapeId="0">
      <text>
        <r>
          <rPr>
            <sz val="10"/>
            <rFont val="Arial"/>
            <family val="2"/>
          </rPr>
          <t xml:space="preserve">
Comment:
    PSV FTE Resident, Cell E93
Resident PSV Fee Paying FTE does not include non-Florida Resident FTE and Dual Enrolled FTE. 
</t>
        </r>
      </text>
    </comment>
    <comment ref="I107" authorId="12" shapeId="0">
      <text>
        <r>
          <rPr>
            <sz val="10"/>
            <rFont val="Arial"/>
            <family val="2"/>
          </rPr>
          <t xml:space="preserve">Comment:
    PSV Estimated Non-Florida Resident FTE, Cell Q54
</t>
        </r>
      </text>
    </comment>
    <comment ref="K107" authorId="13" shapeId="0">
      <text>
        <r>
          <rPr>
            <sz val="10"/>
            <rFont val="Arial"/>
            <family val="2"/>
          </rPr>
          <t xml:space="preserve">Comment:
    DEV ED FTE Resident, Cell H93
Resident DEV ED Fee Paying FTE does not include non-Florida Resident FTE.
</t>
        </r>
      </text>
    </comment>
    <comment ref="L107" authorId="14" shapeId="0">
      <text>
        <r>
          <rPr>
            <sz val="10"/>
            <rFont val="Arial"/>
            <family val="2"/>
          </rPr>
          <t>Comment:
    DEV ED Estimated Non-Florida Resident FTE, Cell T54</t>
        </r>
      </text>
    </comment>
    <comment ref="N107" authorId="15" shapeId="0">
      <text>
        <r>
          <rPr>
            <sz val="10"/>
            <rFont val="Arial"/>
            <family val="2"/>
          </rPr>
          <t>Comment:
    EPI FTE Resident, Cell K93. 
Resident EPI Fee Paying FTE does not include non-Florida Resident FTE.</t>
        </r>
      </text>
    </comment>
    <comment ref="O107" authorId="16" shapeId="0">
      <text>
        <r>
          <rPr>
            <sz val="10"/>
            <rFont val="Arial"/>
            <family val="2"/>
          </rPr>
          <t>Comment:
    EPI Estimated Non-Florida Resident FTE, Cell W54</t>
        </r>
      </text>
    </comment>
    <comment ref="Q107" authorId="17" shapeId="0">
      <text>
        <r>
          <rPr>
            <sz val="10"/>
            <rFont val="Arial"/>
            <family val="2"/>
          </rPr>
          <t xml:space="preserve">Comment:
    CCATD FTE Resident, Cell N93. 
Resident CCATD Paying FTE does not include non-Florida Resident FTE and Dual Enrolled FTE. </t>
        </r>
      </text>
    </comment>
    <comment ref="R107" authorId="18" shapeId="0">
      <text>
        <r>
          <rPr>
            <sz val="10"/>
            <rFont val="Arial"/>
            <family val="2"/>
          </rPr>
          <t>Comment:
    CCATD FTE Estimated Non-Florida Resident FTE, Cell R54.</t>
        </r>
      </text>
    </comment>
    <comment ref="W107" authorId="19" shapeId="0">
      <text>
        <r>
          <rPr>
            <sz val="10"/>
            <rFont val="Arial"/>
            <family val="2"/>
          </rPr>
          <t>Comment:
    Voc Prep FTE Estimated Non-Florida Resident, Cell U54</t>
        </r>
      </text>
    </comment>
    <comment ref="X107" authorId="20" shapeId="0">
      <text>
        <r>
          <rPr>
            <sz val="10"/>
            <rFont val="Arial"/>
            <family val="2"/>
          </rPr>
          <t xml:space="preserve">Comment:
    Voc. Prep FTE Total, Cell G54
</t>
        </r>
      </text>
    </comment>
    <comment ref="Z107" authorId="0" shapeId="0">
      <text>
        <r>
          <rPr>
            <b/>
            <sz val="9"/>
            <color indexed="81"/>
            <rFont val="Tahoma"/>
            <family val="2"/>
          </rPr>
          <t>Nieto, Eve:</t>
        </r>
        <r>
          <rPr>
            <sz val="9"/>
            <color indexed="81"/>
            <rFont val="Tahoma"/>
            <family val="2"/>
          </rPr>
          <t xml:space="preserve">
Pulls from columns AE and AF.</t>
        </r>
      </text>
    </comment>
    <comment ref="AA107" authorId="21" shapeId="0">
      <text>
        <r>
          <rPr>
            <sz val="10"/>
            <rFont val="Arial"/>
            <family val="2"/>
          </rPr>
          <t>Comment:
    Adult FTE Estimated Non-Florida Resident, Cell V54</t>
        </r>
      </text>
    </comment>
    <comment ref="AE107" authorId="22" shapeId="0">
      <text>
        <r>
          <rPr>
            <sz val="10"/>
            <rFont val="Arial"/>
            <family val="2"/>
          </rPr>
          <t xml:space="preserve">Comment:
    Adult Basic FTE, Cell H54
 </t>
        </r>
      </text>
    </comment>
    <comment ref="AF107" authorId="23" shapeId="0">
      <text>
        <r>
          <rPr>
            <sz val="10"/>
            <rFont val="Arial"/>
            <family val="2"/>
          </rPr>
          <t>Comment:
    Adult Second. &amp; GED  FTE, Cell I54</t>
        </r>
      </text>
    </comment>
    <comment ref="AO109" authorId="24" shapeId="0">
      <text>
        <r>
          <rPr>
            <sz val="10"/>
            <rFont val="Arial"/>
            <family val="2"/>
          </rPr>
          <t>Comment:
    Fee Calculator File:   This amount is from the Estimated Duel Enrolled FTE Total Column, Cell AF82.</t>
        </r>
      </text>
    </comment>
    <comment ref="AO110" authorId="25" shapeId="0">
      <text>
        <r>
          <rPr>
            <sz val="10"/>
            <rFont val="Arial"/>
            <family val="2"/>
          </rPr>
          <t xml:space="preserve">Comment:
    Fee Calculator File: Apprent FTE Total, Cell E82 minus the Estimated Dual Enrolled Apprent FTE, Cell AE82. 
</t>
        </r>
      </text>
    </comment>
    <comment ref="AO113"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<sst xmlns="http://schemas.openxmlformats.org/spreadsheetml/2006/main" count="1308" uniqueCount="794">
  <si>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</si>
  <si>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</si>
  <si>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</si>
  <si>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</si>
  <si>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</si>
  <si>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</si>
  <si>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</si>
  <si>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</si>
  <si>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</si>
  <si>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</si>
  <si>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</si>
  <si>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</si>
  <si>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</si>
  <si>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</si>
  <si>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</si>
  <si>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</si>
  <si>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</si>
  <si>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</si>
  <si>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</si>
  <si>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</si>
  <si>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</si>
  <si>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</si>
  <si>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</si>
  <si>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</si>
  <si>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</si>
  <si>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</si>
  <si>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</si>
  <si>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</si>
  <si>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</si>
  <si>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</si>
  <si>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</si>
  <si>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</si>
  <si>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</si>
  <si>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</si>
  <si>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</si>
  <si>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</si>
  <si>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</si>
  <si>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</si>
  <si>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</si>
  <si>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</si>
  <si>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</si>
  <si>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</si>
  <si>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</si>
  <si>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</si>
  <si>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</si>
  <si>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</si>
  <si>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</si>
  <si>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</si>
  <si>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</si>
  <si>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</si>
  <si>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</si>
  <si>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</si>
  <si>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</si>
  <si>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</si>
  <si>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</si>
  <si>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</si>
  <si>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</si>
  <si>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</si>
  <si>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</si>
  <si>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</si>
  <si>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</si>
  <si>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</si>
  <si>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</si>
  <si>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</si>
  <si>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</si>
  <si>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</si>
  <si>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</si>
  <si>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</si>
  <si>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</si>
  <si>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</si>
  <si>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</si>
  <si>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</si>
  <si>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</si>
  <si>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</si>
  <si>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</si>
  <si>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</si>
  <si>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</si>
  <si>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</si>
  <si>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</si>
  <si>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</si>
  <si>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</si>
  <si>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</si>
  <si>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</si>
  <si>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</si>
  <si>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</si>
  <si>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</si>
  <si>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</si>
  <si>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</si>
  <si>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</si>
  <si>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</si>
  <si>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</si>
  <si>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</si>
  <si>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</si>
  <si>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</si>
  <si>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</si>
  <si>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</si>
  <si>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</si>
  <si>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</si>
  <si>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</si>
  <si>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</si>
  <si>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</si>
  <si>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</si>
  <si>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</si>
  <si>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</si>
  <si>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</si>
  <si>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</si>
  <si>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</si>
  <si>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</si>
  <si>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</si>
  <si>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</si>
  <si>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</si>
  <si>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</si>
  <si>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</si>
  <si>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</si>
  <si>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</si>
  <si>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</si>
  <si>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</si>
  <si>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</si>
  <si>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</si>
  <si>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</si>
  <si>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</si>
  <si>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</si>
  <si>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</si>
  <si>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</si>
  <si>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</si>
  <si>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</si>
  <si>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</si>
  <si>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</si>
  <si>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</si>
  <si>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</si>
  <si>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</si>
  <si>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</si>
  <si>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</si>
  <si>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</si>
  <si>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</si>
  <si>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</si>
  <si>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</si>
  <si>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</si>
  <si>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</si>
  <si>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</si>
  <si>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</si>
  <si>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</si>
  <si>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</si>
  <si>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</si>
  <si>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</si>
  <si>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</si>
  <si>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</si>
  <si>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</si>
  <si>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</si>
  <si>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</si>
  <si>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</si>
  <si>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</si>
  <si>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</si>
  <si>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</si>
  <si>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</si>
  <si>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</si>
  <si>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</si>
  <si>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</si>
  <si>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</si>
  <si>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</si>
  <si>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</si>
  <si>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</si>
  <si>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</si>
  <si>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</si>
  <si>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</si>
  <si>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</si>
  <si>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</si>
  <si>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</si>
  <si>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</si>
  <si>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</si>
  <si>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</si>
  <si>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</si>
  <si>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</si>
  <si>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</si>
  <si>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</si>
  <si>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</si>
  <si>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</si>
  <si>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</si>
  <si>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</si>
  <si>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</si>
  <si>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</si>
  <si>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</si>
  <si>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</si>
  <si>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</si>
  <si>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</si>
  <si>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</si>
  <si>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</si>
  <si>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</si>
  <si>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</si>
  <si>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</si>
  <si>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</si>
  <si>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</si>
  <si>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</si>
  <si>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</si>
  <si>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</si>
  <si>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</si>
  <si>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</si>
  <si>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</si>
  <si>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</si>
  <si>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</si>
  <si>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</si>
  <si>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</si>
  <si>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</si>
  <si>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</si>
  <si>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</si>
  <si>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</si>
  <si>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</si>
  <si>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</si>
  <si>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</si>
  <si>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</si>
  <si>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</si>
  <si>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</si>
  <si>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</si>
  <si>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</si>
  <si>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</si>
  <si>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</si>
  <si>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</si>
  <si>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</si>
  <si>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</si>
  <si>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</si>
  <si>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</si>
  <si>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</si>
  <si>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</si>
  <si>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</si>
  <si>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</si>
  <si>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</si>
  <si>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</si>
  <si>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</si>
  <si>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</si>
  <si>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</si>
  <si>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</si>
  <si>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</si>
  <si>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</si>
  <si>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</si>
  <si>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</si>
  <si>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</si>
  <si>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</si>
  <si>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</si>
  <si>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</si>
  <si>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</si>
  <si>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</si>
  <si>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</si>
  <si>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</si>
  <si>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</si>
  <si>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</si>
  <si>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</si>
  <si>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</si>
  <si>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</si>
  <si>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</si>
  <si>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</si>
  <si>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</si>
  <si>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</si>
  <si>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</si>
  <si>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</si>
  <si>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</si>
  <si>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</si>
  <si>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</si>
  <si>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</si>
  <si>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</si>
  <si>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</si>
  <si>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</si>
  <si>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</si>
  <si>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</si>
  <si>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</si>
  <si>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</si>
  <si>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</si>
  <si>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</si>
  <si>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</si>
  <si>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</si>
  <si>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</si>
  <si>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</si>
  <si>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</si>
  <si>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</si>
  <si>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</si>
  <si>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</si>
  <si>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</si>
  <si>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</si>
  <si>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</si>
  <si>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</si>
  <si>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</si>
  <si>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</si>
  <si>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</si>
  <si>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</si>
  <si>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</si>
  <si>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</si>
  <si>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</si>
  <si>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</si>
  <si>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</si>
  <si>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</si>
  <si>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</si>
  <si>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</si>
  <si>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</si>
  <si>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</si>
  <si>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</si>
  <si>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</si>
  <si>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</si>
  <si>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</si>
  <si>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</si>
  <si>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</si>
  <si>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</si>
  <si>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</si>
  <si>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</si>
  <si>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</si>
  <si>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</si>
  <si>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</si>
  <si>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</si>
  <si>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</si>
  <si>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</si>
  <si>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</si>
  <si>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</si>
  <si>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</si>
  <si>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</si>
  <si>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</si>
  <si>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</si>
  <si>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</si>
  <si>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</si>
  <si>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</si>
  <si>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</si>
  <si>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</si>
  <si>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</si>
  <si>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</si>
  <si>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</si>
  <si>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</si>
  <si>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</si>
  <si>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</si>
  <si>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</si>
  <si>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</si>
  <si>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</si>
  <si>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</si>
  <si>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</si>
  <si>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</si>
  <si>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</si>
  <si>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</si>
  <si>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</si>
  <si>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</si>
  <si>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</si>
  <si>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</si>
  <si>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</si>
  <si>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</si>
  <si>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</si>
  <si>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</si>
  <si>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</si>
  <si>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</si>
  <si>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</si>
  <si>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</si>
  <si>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</si>
  <si>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</si>
  <si>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</si>
  <si>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</si>
  <si>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</si>
  <si>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</si>
  <si>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</si>
  <si>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</si>
  <si>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</si>
  <si>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</si>
  <si>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</si>
  <si>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</si>
  <si>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</si>
  <si>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</si>
  <si>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</si>
  <si>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</si>
  <si>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</si>
  <si>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</si>
  <si>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</si>
  <si>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</si>
  <si>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</si>
  <si>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</si>
  <si>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</si>
  <si>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</si>
  <si>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</si>
  <si>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</si>
  <si>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</si>
  <si>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</si>
  <si>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</si>
  <si>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</si>
  <si>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</si>
  <si>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</si>
  <si>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</si>
  <si>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</si>
  <si>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</si>
  <si>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</si>
  <si>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</si>
  <si>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</si>
  <si>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</si>
  <si>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</si>
  <si>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</si>
  <si>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</si>
  <si>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</si>
  <si>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</si>
  <si>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</si>
  <si>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</si>
  <si>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</si>
  <si>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</si>
  <si>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</si>
  <si>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</si>
  <si>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</si>
  <si>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</si>
  <si>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</si>
  <si>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</si>
  <si>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</si>
  <si>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</si>
  <si>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</si>
  <si>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</si>
  <si>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</si>
  <si>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</si>
  <si>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</si>
  <si>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</si>
  <si>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</si>
  <si>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</si>
  <si>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</si>
  <si>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</si>
  <si>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</si>
  <si>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</si>
  <si>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</si>
  <si>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</si>
  <si>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</si>
  <si>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</si>
  <si>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</si>
  <si>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</si>
  <si>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</si>
  <si>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</si>
  <si>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</si>
  <si>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</si>
  <si>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</si>
  <si>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</si>
  <si>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</si>
  <si>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</si>
  <si>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</si>
  <si>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</si>
  <si>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</si>
  <si>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</si>
  <si>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</si>
  <si>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</si>
  <si>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</si>
  <si>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</si>
  <si>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</si>
  <si>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</si>
  <si>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</si>
  <si>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</si>
  <si>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</si>
  <si>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</si>
  <si>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</si>
  <si>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</si>
  <si>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</si>
  <si>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</si>
  <si>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</si>
  <si>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</si>
  <si>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</si>
  <si>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</si>
  <si>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</si>
  <si>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</si>
  <si>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</si>
  <si>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</si>
  <si>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</si>
  <si>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</si>
  <si>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</si>
  <si>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</si>
  <si>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</si>
  <si>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</si>
  <si>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</si>
  <si>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</si>
  <si>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</si>
  <si>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</si>
  <si>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</si>
  <si>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</si>
  <si>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</si>
  <si>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</si>
  <si>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</si>
  <si>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</si>
  <si>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</si>
  <si>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</si>
  <si>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</si>
  <si>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</si>
  <si>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</si>
  <si>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</si>
  <si>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</si>
  <si>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</si>
  <si>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</si>
  <si>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</si>
  <si>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</si>
  <si>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</si>
  <si>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</si>
  <si>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</si>
  <si>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</si>
  <si>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</si>
  <si>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</si>
  <si>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</si>
  <si>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</si>
  <si>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</si>
  <si>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</si>
  <si>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</si>
  <si>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</si>
  <si>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</si>
  <si>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</si>
  <si>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</si>
  <si>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</si>
  <si>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</si>
  <si>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</si>
  <si>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</si>
  <si>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</si>
  <si>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</si>
  <si>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</si>
  <si>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</si>
  <si>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</si>
  <si>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</si>
  <si>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</si>
  <si>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</si>
  <si>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</si>
  <si>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</si>
  <si>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</si>
  <si>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</si>
  <si>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</si>
  <si>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</si>
  <si>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</si>
  <si>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</si>
  <si>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</si>
  <si>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</si>
  <si>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</si>
  <si>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</si>
  <si>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</si>
  <si>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</si>
  <si>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</si>
  <si>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</si>
  <si>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</si>
  <si>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</si>
  <si>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</si>
  <si>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</si>
  <si>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</si>
  <si>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</si>
  <si>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</si>
  <si>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</si>
  <si>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</si>
  <si>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</si>
  <si>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</si>
  <si>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</si>
  <si>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</si>
  <si>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</si>
  <si>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</si>
  <si>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</si>
  <si>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</si>
  <si>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</si>
  <si>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</si>
  <si>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</si>
  <si>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</si>
  <si>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</si>
  <si>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</si>
  <si>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</si>
  <si>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</si>
  <si>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</si>
  <si>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</si>
  <si>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</si>
  <si>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</si>
  <si>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</si>
  <si>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</si>
  <si>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</si>
  <si>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</si>
  <si>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</si>
  <si>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</si>
  <si>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</si>
  <si>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</si>
  <si>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</si>
  <si>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</si>
  <si>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</si>
  <si>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</si>
  <si>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</si>
  <si>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</si>
  <si>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</si>
  <si>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</si>
  <si>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</si>
  <si>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</si>
  <si>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</si>
  <si>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</si>
  <si>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</si>
  <si>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</si>
  <si>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</si>
  <si>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</si>
  <si>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</si>
  <si>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</si>
  <si>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</si>
  <si>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</si>
  <si>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</si>
  <si>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</si>
  <si>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</si>
  <si>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</si>
  <si>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</si>
  <si>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</si>
  <si>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</si>
  <si>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</si>
  <si>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</si>
  <si>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</si>
  <si>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</si>
  <si>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</si>
  <si>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</si>
  <si>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</si>
  <si>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</si>
  <si>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</si>
  <si>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</si>
  <si>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</si>
  <si>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</si>
  <si>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</si>
  <si>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</si>
  <si>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</si>
  <si>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</si>
  <si>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</si>
  <si>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</si>
  <si>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</si>
  <si>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</si>
  <si>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</si>
  <si>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</si>
  <si>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</si>
  <si>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</si>
  <si>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</si>
  <si>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</si>
  <si>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</si>
  <si>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</si>
  <si>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</si>
  <si>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</si>
  <si>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</si>
  <si>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</si>
  <si>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</si>
  <si>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</si>
  <si>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</si>
  <si>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</si>
  <si>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</si>
  <si>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</si>
  <si>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</si>
  <si>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</si>
  <si>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</si>
  <si>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</si>
  <si>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</si>
  <si>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</si>
  <si>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</si>
  <si>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</si>
  <si>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</si>
  <si>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</si>
  <si>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</si>
  <si>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</si>
  <si>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</si>
  <si>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</si>
  <si>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</si>
  <si>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</si>
  <si>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</si>
  <si>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</si>
  <si>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</si>
  <si>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</si>
  <si>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</si>
  <si>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</si>
  <si>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</si>
  <si>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</si>
  <si>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</si>
  <si>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</si>
  <si>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</si>
  <si>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</si>
  <si>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</si>
  <si>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</si>
  <si>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</si>
  <si>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</si>
  <si>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</si>
  <si>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</si>
  <si>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</si>
  <si>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</si>
  <si>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</si>
  <si>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</si>
  <si>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</si>
  <si>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</si>
  <si>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</si>
  <si>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</si>
  <si>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</si>
  <si>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</si>
  <si>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</si>
  <si>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</si>
  <si>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</si>
  <si>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</si>
  <si>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</si>
  <si>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</si>
  <si>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</si>
  <si>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</si>
  <si>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</si>
  <si>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</si>
  <si>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</si>
  <si>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</si>
  <si>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</si>
  <si>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</si>
  <si>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</si>
  <si>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</si>
  <si>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</si>
  <si>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</si>
  <si>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</si>
  <si>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</si>
  <si>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</si>
  <si>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</si>
  <si>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</si>
  <si>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</si>
  <si>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</si>
  <si>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</si>
  <si>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</si>
  <si>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</si>
  <si>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</si>
  <si>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</si>
  <si>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</si>
  <si>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</si>
  <si>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</si>
  <si>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</si>
  <si>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</si>
  <si>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</si>
  <si>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</si>
  <si>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</si>
  <si>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</si>
  <si>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</si>
  <si>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</si>
  <si>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</si>
  <si>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</si>
  <si>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</si>
  <si>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</si>
  <si>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</si>
  <si>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</si>
  <si>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</si>
  <si>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</si>
  <si>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</si>
  <si>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</si>
  <si>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</si>
  <si>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</si>
  <si>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</si>
  <si>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</si>
  <si>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</si>
  <si>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</si>
  <si>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</si>
  <si>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</si>
  <si>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</si>
  <si>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</si>
  <si>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</si>
  <si>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</si>
  <si>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</si>
  <si>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</si>
  <si>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</si>
  <si>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</si>
  <si>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</si>
  <si>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</si>
  <si>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</si>
  <si>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</si>
  <si>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</si>
  <si>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</si>
  <si>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</si>
  <si>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</si>
  <si>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</si>
  <si>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</si>
  <si>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</si>
  <si>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</si>
  <si>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</si>
  <si>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</si>
  <si>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</si>
  <si>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</si>
  <si>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</si>
  <si>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</si>
  <si>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</si>
  <si>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</si>
  <si>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</si>
  <si>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</si>
  <si>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</si>
  <si>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</si>
  <si>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</si>
  <si>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</si>
  <si>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</si>
  <si>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</si>
  <si>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</si>
  <si>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</si>
  <si>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</si>
  <si>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</si>
  <si>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</si>
  <si>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</si>
  <si>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</si>
  <si>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</si>
  <si>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</si>
  <si>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</si>
  <si>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</si>
  <si>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</si>
  <si>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</si>
  <si>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</si>
  <si>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</si>
  <si>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</si>
  <si>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</si>
  <si>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</si>
  <si>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</si>
  <si>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A&amp;P Baccalaureate: Estimate a greater demand for baccalaureate programs more specifically Applied Science &amp; Org Leadership, Nursing, and Software Development.</t>
  </si>
  <si>
    <t xml:space="preserve">EPI: Estimates lower than anticipated growth. </t>
  </si>
  <si>
    <t>Dev Ed: Estimates lower than anticipated decline with respect to FTE 2A submission primarily in EAP and Math college prep.</t>
  </si>
  <si>
    <t>A&amp;P Lower Level: College in-state estimate excludes dual enrollment credit hours.</t>
  </si>
  <si>
    <t>Career certifcate and applied technology diploma: college estimates a slightly higher number in the demand for career certificates.</t>
  </si>
  <si>
    <t>PSV: estimates higher than anticipated growth primarily in Industrial and Business disciplines.</t>
  </si>
  <si>
    <t>Operational support</t>
  </si>
  <si>
    <t>Fund 1 - Revenue</t>
  </si>
  <si>
    <t>Fund 1 - fund balance</t>
  </si>
  <si>
    <t>Updated: 6.4.21 EN</t>
  </si>
  <si>
    <t>Date Updated:   6.4.21    BY: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</si>
</sst>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theme="1"/>
      </left>
      <right/>
      <top style="medium">
        <color indexed="8"/>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1">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5" xfId="0" applyNumberFormat="1" applyFont="1" applyFill="1" applyBorder="1"/>
    <xf numFmtId="3" fontId="72" fillId="36" borderId="156"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4"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4"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5"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0"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7" xfId="0" applyFont="1" applyFill="1" applyBorder="1" applyAlignment="1">
      <alignment vertical="center"/>
    </xf>
    <xf numFmtId="0" fontId="151" fillId="0" borderId="166"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9"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8" xfId="0" applyFont="1" applyFill="1" applyBorder="1" applyAlignment="1">
      <alignment vertical="center"/>
    </xf>
    <xf numFmtId="0" fontId="74" fillId="0" borderId="19" xfId="0" applyFont="1" applyFill="1" applyBorder="1"/>
    <xf numFmtId="0" fontId="72" fillId="0" borderId="169"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7" xfId="0" applyNumberFormat="1" applyFont="1" applyFill="1" applyBorder="1"/>
    <xf numFmtId="168" fontId="105" fillId="32" borderId="158"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4"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0"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1" xfId="0" applyNumberFormat="1" applyFont="1" applyBorder="1" applyProtection="1"/>
    <xf numFmtId="37" fontId="100" fillId="0" borderId="171" xfId="0" applyNumberFormat="1" applyFont="1" applyFill="1" applyBorder="1" applyProtection="1"/>
    <xf numFmtId="37" fontId="108" fillId="0" borderId="171" xfId="0" applyNumberFormat="1" applyFont="1" applyBorder="1" applyProtection="1"/>
    <xf numFmtId="37" fontId="129" fillId="0" borderId="171" xfId="0" applyNumberFormat="1" applyFont="1" applyBorder="1" applyProtection="1"/>
    <xf numFmtId="37" fontId="129" fillId="0" borderId="0" xfId="0" applyNumberFormat="1" applyFont="1" applyBorder="1" applyProtection="1"/>
    <xf numFmtId="37" fontId="100" fillId="24" borderId="171"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1"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1" xfId="0" applyNumberFormat="1" applyFont="1" applyBorder="1" applyAlignment="1" applyProtection="1">
      <alignment horizontal="fill"/>
    </xf>
    <xf numFmtId="37" fontId="100" fillId="25" borderId="171" xfId="0" applyNumberFormat="1" applyFont="1" applyFill="1" applyBorder="1" applyProtection="1"/>
    <xf numFmtId="0" fontId="108" fillId="0" borderId="171" xfId="0" applyFont="1" applyBorder="1" applyProtection="1"/>
    <xf numFmtId="37" fontId="108" fillId="0" borderId="172"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3" xfId="0" applyNumberFormat="1" applyFont="1" applyFill="1" applyBorder="1" applyProtection="1"/>
    <xf numFmtId="37" fontId="108" fillId="0" borderId="175" xfId="0" applyNumberFormat="1" applyFont="1" applyBorder="1" applyProtection="1"/>
    <xf numFmtId="37" fontId="108" fillId="0" borderId="174" xfId="0" applyNumberFormat="1" applyFont="1" applyBorder="1" applyProtection="1"/>
    <xf numFmtId="37" fontId="108" fillId="0" borderId="174" xfId="0" applyNumberFormat="1" applyFont="1" applyBorder="1" applyAlignment="1" applyProtection="1">
      <alignment horizontal="center" wrapText="1"/>
    </xf>
    <xf numFmtId="37" fontId="108" fillId="0" borderId="170"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7" xfId="0" applyNumberFormat="1" applyFont="1" applyBorder="1" applyAlignment="1" applyProtection="1">
      <alignment horizontal="right"/>
    </xf>
    <xf numFmtId="5" fontId="130" fillId="75" borderId="173" xfId="0" applyNumberFormat="1" applyFont="1" applyFill="1" applyBorder="1" applyProtection="1"/>
    <xf numFmtId="37" fontId="108" fillId="0" borderId="178" xfId="0" applyNumberFormat="1" applyFont="1" applyBorder="1" applyProtection="1"/>
    <xf numFmtId="37" fontId="100" fillId="0" borderId="179" xfId="0" applyNumberFormat="1" applyFont="1" applyBorder="1" applyProtection="1"/>
    <xf numFmtId="37" fontId="100" fillId="0" borderId="180" xfId="0" applyNumberFormat="1" applyFont="1" applyBorder="1" applyAlignment="1" applyProtection="1">
      <alignment horizontal="right"/>
    </xf>
    <xf numFmtId="5" fontId="108" fillId="75" borderId="180" xfId="0" applyNumberFormat="1" applyFont="1" applyFill="1" applyBorder="1" applyProtection="1"/>
    <xf numFmtId="5" fontId="130" fillId="75" borderId="181"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5" xfId="0" applyNumberFormat="1" applyFont="1" applyFill="1" applyBorder="1" applyProtection="1"/>
    <xf numFmtId="37" fontId="100" fillId="30" borderId="174" xfId="0" applyNumberFormat="1" applyFont="1" applyFill="1" applyBorder="1" applyProtection="1"/>
    <xf numFmtId="37" fontId="100" fillId="30" borderId="176" xfId="0" applyNumberFormat="1" applyFont="1" applyFill="1" applyBorder="1" applyProtection="1"/>
    <xf numFmtId="37" fontId="100" fillId="30" borderId="170"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2" xfId="0" applyFont="1" applyFill="1" applyBorder="1" applyProtection="1"/>
    <xf numFmtId="0" fontId="72" fillId="0" borderId="182" xfId="0" applyFont="1" applyBorder="1"/>
    <xf numFmtId="0" fontId="72" fillId="0" borderId="182" xfId="0" applyFont="1" applyBorder="1" applyAlignment="1">
      <alignment horizontal="center"/>
    </xf>
    <xf numFmtId="3" fontId="156" fillId="32" borderId="182" xfId="17654" applyNumberFormat="1" applyFont="1" applyFill="1" applyBorder="1" applyAlignment="1" applyProtection="1">
      <alignment horizontal="right"/>
      <protection locked="0"/>
    </xf>
    <xf numFmtId="4" fontId="72" fillId="0" borderId="182" xfId="0" applyNumberFormat="1" applyFont="1" applyBorder="1"/>
    <xf numFmtId="168" fontId="72" fillId="0" borderId="182"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4" xfId="0" applyFont="1" applyFill="1" applyBorder="1" applyAlignment="1">
      <alignment horizontal="center"/>
    </xf>
    <xf numFmtId="166" fontId="72" fillId="32" borderId="185" xfId="0" applyNumberFormat="1" applyFont="1" applyFill="1" applyBorder="1"/>
    <xf numFmtId="166" fontId="72" fillId="36" borderId="184" xfId="0" applyNumberFormat="1" applyFont="1" applyFill="1" applyBorder="1"/>
    <xf numFmtId="4" fontId="72" fillId="0" borderId="184" xfId="181" applyNumberFormat="1" applyFont="1" applyBorder="1" applyProtection="1"/>
    <xf numFmtId="37" fontId="100" fillId="0" borderId="186" xfId="0" applyNumberFormat="1" applyFont="1" applyBorder="1" applyProtection="1"/>
    <xf numFmtId="37" fontId="100" fillId="0" borderId="187" xfId="0" applyNumberFormat="1" applyFont="1" applyBorder="1" applyAlignment="1" applyProtection="1">
      <alignment horizontal="right"/>
    </xf>
    <xf numFmtId="37" fontId="100" fillId="0" borderId="188" xfId="0" applyNumberFormat="1" applyFont="1" applyBorder="1" applyProtection="1"/>
    <xf numFmtId="0" fontId="100" fillId="0" borderId="186" xfId="0" applyFont="1" applyBorder="1" applyProtection="1"/>
    <xf numFmtId="0" fontId="100" fillId="0" borderId="187" xfId="0" applyFont="1" applyBorder="1" applyAlignment="1" applyProtection="1">
      <alignment horizontal="right"/>
    </xf>
    <xf numFmtId="37" fontId="108" fillId="0" borderId="189" xfId="0" applyNumberFormat="1" applyFont="1" applyBorder="1" applyAlignment="1" applyProtection="1">
      <alignment horizontal="fill"/>
    </xf>
    <xf numFmtId="37" fontId="108" fillId="24" borderId="189" xfId="0" applyNumberFormat="1" applyFont="1" applyFill="1" applyBorder="1" applyAlignment="1" applyProtection="1">
      <alignment horizontal="fill"/>
    </xf>
    <xf numFmtId="37" fontId="108" fillId="24" borderId="190" xfId="0" applyNumberFormat="1" applyFont="1" applyFill="1" applyBorder="1" applyAlignment="1" applyProtection="1">
      <alignment horizontal="fill"/>
    </xf>
    <xf numFmtId="170" fontId="74" fillId="32" borderId="186" xfId="181" applyNumberFormat="1" applyFont="1" applyFill="1" applyBorder="1"/>
    <xf numFmtId="170" fontId="74" fillId="0" borderId="186" xfId="181" applyNumberFormat="1" applyFont="1" applyFill="1" applyBorder="1"/>
    <xf numFmtId="0" fontId="74" fillId="0" borderId="186" xfId="0" applyFont="1" applyBorder="1" applyAlignment="1" applyProtection="1">
      <alignment horizontal="center" wrapText="1"/>
    </xf>
    <xf numFmtId="3" fontId="160" fillId="32" borderId="186" xfId="182" applyNumberFormat="1" applyFont="1" applyFill="1" applyBorder="1" applyProtection="1">
      <protection locked="0"/>
    </xf>
    <xf numFmtId="5" fontId="72" fillId="0" borderId="186" xfId="181" applyNumberFormat="1" applyFont="1" applyFill="1" applyBorder="1" applyProtection="1"/>
    <xf numFmtId="5" fontId="72" fillId="0" borderId="186" xfId="181" applyNumberFormat="1" applyFont="1" applyBorder="1" applyProtection="1"/>
    <xf numFmtId="5" fontId="72" fillId="0" borderId="186" xfId="181" quotePrefix="1" applyNumberFormat="1" applyFont="1" applyFill="1" applyBorder="1" applyProtection="1"/>
    <xf numFmtId="5" fontId="72" fillId="0" borderId="186" xfId="0" applyNumberFormat="1" applyFont="1" applyBorder="1" applyProtection="1"/>
    <xf numFmtId="10" fontId="74" fillId="0" borderId="186" xfId="3292" applyNumberFormat="1" applyFont="1" applyBorder="1" applyProtection="1"/>
    <xf numFmtId="0" fontId="74" fillId="0" borderId="186" xfId="0" applyFont="1" applyBorder="1" applyProtection="1"/>
    <xf numFmtId="165" fontId="72" fillId="0" borderId="186" xfId="192" applyNumberFormat="1" applyFont="1" applyBorder="1" applyProtection="1"/>
    <xf numFmtId="37" fontId="100" fillId="0" borderId="189"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1"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3" xfId="0" applyFont="1" applyFill="1" applyBorder="1" applyAlignment="1">
      <alignment horizontal="center"/>
    </xf>
    <xf numFmtId="166" fontId="72" fillId="70" borderId="191" xfId="0" applyNumberFormat="1" applyFont="1" applyFill="1" applyBorder="1"/>
    <xf numFmtId="166" fontId="72" fillId="32" borderId="191" xfId="0" applyNumberFormat="1" applyFont="1" applyFill="1" applyBorder="1"/>
    <xf numFmtId="166" fontId="78" fillId="32" borderId="193" xfId="17654" applyNumberFormat="1" applyFont="1" applyFill="1" applyBorder="1" applyAlignment="1"/>
    <xf numFmtId="4" fontId="156" fillId="32" borderId="193" xfId="0" applyNumberFormat="1" applyFont="1" applyFill="1" applyBorder="1" applyProtection="1">
      <protection locked="0"/>
    </xf>
    <xf numFmtId="0" fontId="72" fillId="0" borderId="193" xfId="0" applyFont="1" applyBorder="1"/>
    <xf numFmtId="0" fontId="72" fillId="0" borderId="193" xfId="0" applyFont="1" applyBorder="1" applyAlignment="1">
      <alignment horizontal="center"/>
    </xf>
    <xf numFmtId="4" fontId="72" fillId="0" borderId="193" xfId="0" applyNumberFormat="1" applyFont="1" applyBorder="1"/>
    <xf numFmtId="3" fontId="72" fillId="0" borderId="193" xfId="0" applyNumberFormat="1" applyFont="1" applyBorder="1"/>
    <xf numFmtId="0" fontId="156" fillId="32" borderId="193" xfId="0" applyFont="1" applyFill="1" applyBorder="1" applyProtection="1">
      <protection locked="0"/>
    </xf>
    <xf numFmtId="3" fontId="156" fillId="32" borderId="193" xfId="0" applyNumberFormat="1" applyFont="1" applyFill="1" applyBorder="1" applyAlignment="1" applyProtection="1">
      <alignment horizontal="right"/>
      <protection locked="0"/>
    </xf>
    <xf numFmtId="0" fontId="100" fillId="0" borderId="192" xfId="0" applyFont="1" applyBorder="1"/>
    <xf numFmtId="37" fontId="100" fillId="0" borderId="196" xfId="0" applyNumberFormat="1" applyFont="1" applyBorder="1" applyProtection="1"/>
    <xf numFmtId="37" fontId="100" fillId="30" borderId="192" xfId="0" applyNumberFormat="1" applyFont="1" applyFill="1" applyBorder="1" applyProtection="1"/>
    <xf numFmtId="0" fontId="106" fillId="0" borderId="192"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37" fontId="157" fillId="33" borderId="201"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9" xfId="0" applyNumberFormat="1" applyFont="1" applyFill="1" applyBorder="1"/>
    <xf numFmtId="166" fontId="72" fillId="36" borderId="202" xfId="0" applyNumberFormat="1" applyFont="1" applyFill="1" applyBorder="1"/>
    <xf numFmtId="166" fontId="72" fillId="32" borderId="209" xfId="0" applyNumberFormat="1" applyFont="1" applyFill="1" applyBorder="1"/>
    <xf numFmtId="169" fontId="72" fillId="32" borderId="210" xfId="17654" applyNumberFormat="1" applyFont="1" applyFill="1" applyBorder="1"/>
    <xf numFmtId="171" fontId="72" fillId="32" borderId="209" xfId="17654" applyNumberFormat="1" applyFont="1" applyFill="1" applyBorder="1"/>
    <xf numFmtId="171" fontId="72" fillId="32" borderId="209" xfId="182" applyNumberFormat="1" applyFont="1" applyFill="1" applyBorder="1"/>
    <xf numFmtId="166" fontId="72" fillId="36" borderId="211" xfId="0" applyNumberFormat="1" applyFont="1" applyFill="1" applyBorder="1"/>
    <xf numFmtId="0" fontId="100" fillId="0" borderId="211"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8" xfId="0" applyNumberFormat="1" applyFont="1" applyBorder="1" applyAlignment="1" applyProtection="1">
      <alignment horizontal="right"/>
    </xf>
    <xf numFmtId="37" fontId="129" fillId="24" borderId="198" xfId="0" applyNumberFormat="1" applyFont="1" applyFill="1" applyBorder="1" applyProtection="1"/>
    <xf numFmtId="5" fontId="108" fillId="75" borderId="218" xfId="0" applyNumberFormat="1" applyFont="1" applyFill="1" applyBorder="1" applyProtection="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3" xfId="495" applyFont="1" applyFill="1" applyBorder="1" applyAlignment="1">
      <alignment horizontal="center" wrapText="1"/>
    </xf>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6"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0" fontId="156" fillId="32" borderId="223" xfId="0" applyFont="1" applyFill="1" applyBorder="1" applyProtection="1">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7"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62" xfId="0" applyNumberFormat="1" applyFont="1" applyBorder="1" applyProtection="1"/>
    <xf numFmtId="37" fontId="100" fillId="24" borderId="206"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7" fillId="33" borderId="247" xfId="0" applyNumberFormat="1" applyFont="1" applyFill="1" applyBorder="1" applyAlignment="1" applyProtection="1">
      <alignment horizontal="right"/>
      <protection locked="0"/>
    </xf>
    <xf numFmtId="37" fontId="129" fillId="75" borderId="219"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6" xfId="0" applyFont="1" applyBorder="1" applyProtection="1"/>
    <xf numFmtId="0" fontId="100" fillId="0" borderId="217" xfId="0" applyFont="1" applyBorder="1" applyProtection="1"/>
    <xf numFmtId="0" fontId="100" fillId="0" borderId="213" xfId="0" applyFont="1" applyBorder="1" applyAlignment="1" applyProtection="1">
      <alignment horizontal="right"/>
    </xf>
    <xf numFmtId="37" fontId="100" fillId="24" borderId="215"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5"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8"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3" fontId="159" fillId="30" borderId="276" xfId="0" applyNumberFormat="1" applyFont="1" applyFill="1" applyBorder="1" applyProtection="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6"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4" xfId="0" applyNumberFormat="1" applyFont="1" applyFill="1" applyBorder="1" applyAlignment="1" applyProtection="1">
      <alignment horizontal="left"/>
    </xf>
    <xf numFmtId="37" fontId="108" fillId="30" borderId="192"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8" xfId="0" applyFont="1" applyBorder="1" applyAlignment="1">
      <alignment wrapText="1"/>
    </xf>
    <xf numFmtId="0" fontId="126" fillId="0" borderId="183"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2"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1"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3" xfId="0" applyFont="1" applyBorder="1" applyAlignment="1">
      <alignment wrapText="1"/>
    </xf>
    <xf numFmtId="0" fontId="126" fillId="0" borderId="197"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5" xfId="181" applyNumberFormat="1" applyFont="1" applyFill="1" applyBorder="1" applyAlignment="1">
      <alignment horizontal="right"/>
    </xf>
    <xf numFmtId="5" fontId="168" fillId="32" borderId="219" xfId="49334" applyNumberFormat="1" applyFont="1" applyFill="1" applyBorder="1" applyAlignment="1">
      <alignment horizontal="right"/>
    </xf>
    <xf numFmtId="165" fontId="72" fillId="32" borderId="290" xfId="181" applyNumberFormat="1" applyFont="1" applyFill="1" applyBorder="1" applyAlignment="1">
      <alignment horizontal="right"/>
    </xf>
    <xf numFmtId="165" fontId="168" fillId="32" borderId="220" xfId="49334" applyNumberFormat="1" applyFont="1" applyFill="1" applyBorder="1" applyAlignment="1">
      <alignment horizontal="right"/>
    </xf>
    <xf numFmtId="0" fontId="72" fillId="79" borderId="44" xfId="0" applyFont="1" applyFill="1" applyBorder="1"/>
    <xf numFmtId="0" fontId="72" fillId="79" borderId="221" xfId="0" applyFont="1" applyFill="1" applyBorder="1"/>
    <xf numFmtId="0" fontId="72" fillId="79" borderId="224" xfId="0" applyFont="1" applyFill="1" applyBorder="1"/>
    <xf numFmtId="0" fontId="72" fillId="79" borderId="192" xfId="0" applyFont="1" applyFill="1" applyBorder="1"/>
    <xf numFmtId="166" fontId="72" fillId="36" borderId="89" xfId="0" applyNumberFormat="1" applyFont="1" applyFill="1" applyBorder="1"/>
    <xf numFmtId="166" fontId="72" fillId="36" borderId="192" xfId="0" applyNumberFormat="1" applyFont="1" applyFill="1" applyBorder="1"/>
    <xf numFmtId="166" fontId="72" fillId="36" borderId="188" xfId="0" applyNumberFormat="1" applyFont="1" applyFill="1" applyBorder="1"/>
    <xf numFmtId="166" fontId="105" fillId="32" borderId="21" xfId="0" applyNumberFormat="1" applyFont="1" applyFill="1" applyBorder="1"/>
    <xf numFmtId="169" fontId="175" fillId="32" borderId="267" xfId="0" applyNumberFormat="1" applyFont="1" applyFill="1" applyBorder="1"/>
    <xf numFmtId="169" fontId="175" fillId="32" borderId="282" xfId="0" applyNumberFormat="1" applyFont="1" applyFill="1" applyBorder="1"/>
    <xf numFmtId="169" fontId="175" fillId="32" borderId="292"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1" xfId="0" applyFont="1" applyFill="1" applyBorder="1" applyAlignment="1">
      <alignment horizontal="center"/>
    </xf>
    <xf numFmtId="0" fontId="74" fillId="35" borderId="151" xfId="0" applyFont="1" applyFill="1" applyBorder="1" applyAlignment="1">
      <alignment horizontal="center" wrapText="1"/>
    </xf>
    <xf numFmtId="0" fontId="74" fillId="35" borderId="195"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49"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0" fontId="176" fillId="72" borderId="23" xfId="0" applyFont="1" applyFill="1" applyBorder="1" applyProtection="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4"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4" xfId="0" applyFont="1" applyBorder="1" applyAlignment="1"/>
    <xf numFmtId="0" fontId="106" fillId="0" borderId="192" xfId="0" applyFont="1" applyBorder="1" applyAlignment="1"/>
    <xf numFmtId="0" fontId="126" fillId="0" borderId="204" xfId="0" applyFont="1" applyBorder="1" applyAlignment="1">
      <alignment horizontal="centerContinuous" wrapText="1"/>
    </xf>
    <xf numFmtId="0" fontId="126" fillId="0" borderId="186" xfId="0" applyFont="1" applyBorder="1" applyAlignment="1">
      <alignment horizontal="centerContinuous" wrapText="1"/>
    </xf>
    <xf numFmtId="0" fontId="126" fillId="0" borderId="205"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199"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7"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298"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1" xfId="663" applyNumberFormat="1" applyFont="1" applyBorder="1" applyAlignment="1" applyProtection="1">
      <alignment horizontal="centerContinuous"/>
    </xf>
    <xf numFmtId="0" fontId="72" fillId="0" borderId="298"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37" fontId="106" fillId="0" borderId="171" xfId="0" applyNumberFormat="1" applyFont="1" applyFill="1" applyBorder="1" applyProtection="1"/>
    <xf numFmtId="3" fontId="72" fillId="36" borderId="279" xfId="0" applyNumberFormat="1" applyFont="1" applyFill="1" applyBorder="1" applyAlignment="1" applyProtection="1">
      <alignment horizontal="right"/>
    </xf>
    <xf numFmtId="0" fontId="72" fillId="32" borderId="303" xfId="495" applyFont="1" applyFill="1" applyBorder="1" applyAlignment="1">
      <alignment horizontal="center" wrapText="1"/>
    </xf>
    <xf numFmtId="3" fontId="72" fillId="32" borderId="303" xfId="181" applyNumberFormat="1" applyFont="1" applyFill="1" applyBorder="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306"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6048375</xdr:colOff>
          <xdr:row>52</xdr:row>
          <xdr:rowOff>85725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xdr:col>
          <xdr:colOff>209550</xdr:colOff>
          <xdr:row>52</xdr:row>
          <xdr:rowOff>38100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S-Budget-Admin\2021-2022%20Budget\Budget%20Development\1.%20F1%20-%202021-22%20FCS%20Documents\FY2021-22%20Balanc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PLOAD"/>
      <sheetName val="fnd1FuploadExp"/>
      <sheetName val="fnd1FuploadRev"/>
      <sheetName val="balancing tool"/>
      <sheetName val="Sheet1"/>
      <sheetName val="all combined"/>
      <sheetName val="Bosley"/>
      <sheetName val="SPD"/>
      <sheetName val="Artze-Vega"/>
      <sheetName val="Battista"/>
      <sheetName val="Bender"/>
      <sheetName val="Galbraith"/>
      <sheetName val="Givoglu"/>
      <sheetName val="Graham"/>
      <sheetName val="McKelvey"/>
      <sheetName val="Mullowney"/>
      <sheetName val="Plinske"/>
      <sheetName val="Richardson"/>
      <sheetName val="Plinske College Pres"/>
      <sheetName val="Labs PT Current Cap"/>
      <sheetName val="PT Staff"/>
      <sheetName val="adj &amp; ovld"/>
      <sheetName val="MCAT"/>
      <sheetName val="revenue"/>
      <sheetName val="Fund1 FT Personnel"/>
      <sheetName val="Fund 1 FT fringes and other"/>
      <sheetName val="RT Ind Study Inst Supp "/>
      <sheetName val="special projects&amp;Other"/>
      <sheetName val="overtime"/>
      <sheetName val="Account Lookup"/>
      <sheetName val="function lookup"/>
      <sheetName val="leadership lookup"/>
      <sheetName val="FOAMonthlyExpense-FOAMonthly_1"/>
      <sheetName val="Sheet4"/>
    </sheetNames>
    <sheetDataSet>
      <sheetData sheetId="0"/>
      <sheetData sheetId="1"/>
      <sheetData sheetId="2"/>
      <sheetData sheetId="3"/>
      <sheetData sheetId="4"/>
      <sheetData sheetId="5">
        <row r="1">
          <cell r="AD1" t="str">
            <v>5 digit</v>
          </cell>
          <cell r="AE1">
            <v>15</v>
          </cell>
        </row>
        <row r="2">
          <cell r="AD2">
            <v>51000</v>
          </cell>
          <cell r="AE2">
            <v>0</v>
          </cell>
        </row>
        <row r="3">
          <cell r="AD3">
            <v>51100</v>
          </cell>
          <cell r="AE3">
            <v>24114</v>
          </cell>
        </row>
        <row r="4">
          <cell r="AD4">
            <v>51200</v>
          </cell>
          <cell r="AE4">
            <v>117850</v>
          </cell>
        </row>
        <row r="5">
          <cell r="AD5">
            <v>52000</v>
          </cell>
          <cell r="AE5">
            <v>1225158</v>
          </cell>
        </row>
        <row r="6">
          <cell r="AD6">
            <v>52100</v>
          </cell>
          <cell r="AE6">
            <v>195832</v>
          </cell>
        </row>
        <row r="7">
          <cell r="AD7">
            <v>52200</v>
          </cell>
          <cell r="AE7">
            <v>0</v>
          </cell>
        </row>
        <row r="8">
          <cell r="AD8">
            <v>52300</v>
          </cell>
          <cell r="AE8">
            <v>7084</v>
          </cell>
        </row>
        <row r="9">
          <cell r="AD9">
            <v>52500</v>
          </cell>
          <cell r="AE9">
            <v>0</v>
          </cell>
        </row>
        <row r="10">
          <cell r="AD10">
            <v>53000</v>
          </cell>
          <cell r="AE10">
            <v>62145</v>
          </cell>
        </row>
        <row r="11">
          <cell r="AD11">
            <v>53100</v>
          </cell>
          <cell r="AE11">
            <v>0</v>
          </cell>
        </row>
        <row r="12">
          <cell r="AD12">
            <v>53500</v>
          </cell>
          <cell r="AE12">
            <v>0</v>
          </cell>
        </row>
        <row r="13">
          <cell r="AD13">
            <v>54000</v>
          </cell>
          <cell r="AE13">
            <v>311756</v>
          </cell>
        </row>
        <row r="14">
          <cell r="AD14">
            <v>54100</v>
          </cell>
          <cell r="AE14">
            <v>0</v>
          </cell>
        </row>
        <row r="15">
          <cell r="AD15">
            <v>54500</v>
          </cell>
          <cell r="AE15">
            <v>1448</v>
          </cell>
        </row>
        <row r="16">
          <cell r="AD16">
            <v>56000</v>
          </cell>
          <cell r="AE16">
            <v>443483</v>
          </cell>
        </row>
        <row r="17">
          <cell r="AD17">
            <v>56100</v>
          </cell>
          <cell r="AE17">
            <v>0</v>
          </cell>
        </row>
        <row r="18">
          <cell r="AD18">
            <v>56500</v>
          </cell>
          <cell r="AE18">
            <v>0</v>
          </cell>
        </row>
        <row r="19">
          <cell r="AD19">
            <v>57000</v>
          </cell>
          <cell r="AE19">
            <v>31996</v>
          </cell>
        </row>
        <row r="20">
          <cell r="AD20">
            <v>58000</v>
          </cell>
          <cell r="AE20">
            <v>0</v>
          </cell>
        </row>
        <row r="21">
          <cell r="AD21">
            <v>58500</v>
          </cell>
          <cell r="AE21">
            <v>0</v>
          </cell>
        </row>
        <row r="22">
          <cell r="AD22">
            <v>59100</v>
          </cell>
          <cell r="AE22">
            <v>105712</v>
          </cell>
        </row>
        <row r="23">
          <cell r="AD23">
            <v>59200</v>
          </cell>
          <cell r="AE23">
            <v>139778</v>
          </cell>
        </row>
        <row r="24">
          <cell r="AD24">
            <v>59300</v>
          </cell>
          <cell r="AE24">
            <v>0</v>
          </cell>
        </row>
        <row r="25">
          <cell r="AD25">
            <v>59400</v>
          </cell>
          <cell r="AE25">
            <v>0</v>
          </cell>
        </row>
        <row r="26">
          <cell r="AD26">
            <v>59500</v>
          </cell>
          <cell r="AE26">
            <v>0</v>
          </cell>
        </row>
        <row r="27">
          <cell r="AD27">
            <v>59700</v>
          </cell>
          <cell r="AE27">
            <v>127136</v>
          </cell>
        </row>
        <row r="28">
          <cell r="AD28">
            <v>59800</v>
          </cell>
          <cell r="AE28">
            <v>0</v>
          </cell>
        </row>
        <row r="29">
          <cell r="AD29">
            <v>59900</v>
          </cell>
          <cell r="AE29">
            <v>0</v>
          </cell>
        </row>
        <row r="30">
          <cell r="AD30">
            <v>60500</v>
          </cell>
          <cell r="AE30">
            <v>316</v>
          </cell>
        </row>
        <row r="31">
          <cell r="AD31">
            <v>61000</v>
          </cell>
          <cell r="AE31">
            <v>0</v>
          </cell>
        </row>
        <row r="32">
          <cell r="AD32">
            <v>61500</v>
          </cell>
          <cell r="AE32">
            <v>0</v>
          </cell>
        </row>
        <row r="33">
          <cell r="AD33">
            <v>62000</v>
          </cell>
          <cell r="AE33">
            <v>3318</v>
          </cell>
        </row>
        <row r="34">
          <cell r="AD34">
            <v>62500</v>
          </cell>
          <cell r="AE34">
            <v>0</v>
          </cell>
        </row>
        <row r="35">
          <cell r="AD35">
            <v>63000</v>
          </cell>
          <cell r="AE35">
            <v>0</v>
          </cell>
        </row>
        <row r="36">
          <cell r="AD36">
            <v>63500</v>
          </cell>
          <cell r="AE36">
            <v>0</v>
          </cell>
        </row>
        <row r="37">
          <cell r="AD37">
            <v>64001</v>
          </cell>
          <cell r="AE37">
            <v>300000</v>
          </cell>
        </row>
        <row r="38">
          <cell r="AD38">
            <v>64002</v>
          </cell>
          <cell r="AE38">
            <v>0</v>
          </cell>
        </row>
        <row r="39">
          <cell r="AD39">
            <v>64003</v>
          </cell>
          <cell r="AE39">
            <v>0</v>
          </cell>
        </row>
        <row r="40">
          <cell r="AD40">
            <v>64004</v>
          </cell>
          <cell r="AE40">
            <v>0</v>
          </cell>
        </row>
        <row r="41">
          <cell r="AD41">
            <v>64005</v>
          </cell>
          <cell r="AE41">
            <v>0</v>
          </cell>
        </row>
        <row r="42">
          <cell r="AD42">
            <v>64006</v>
          </cell>
          <cell r="AE42">
            <v>0</v>
          </cell>
        </row>
        <row r="43">
          <cell r="AD43">
            <v>64007</v>
          </cell>
          <cell r="AE43">
            <v>0</v>
          </cell>
        </row>
        <row r="44">
          <cell r="AD44">
            <v>64500</v>
          </cell>
          <cell r="AE44">
            <v>804678</v>
          </cell>
        </row>
        <row r="45">
          <cell r="AD45">
            <v>65000</v>
          </cell>
          <cell r="AE45">
            <v>0</v>
          </cell>
        </row>
        <row r="46">
          <cell r="AD46">
            <v>65500</v>
          </cell>
          <cell r="AE46">
            <v>204147</v>
          </cell>
        </row>
        <row r="47">
          <cell r="AD47">
            <v>65700</v>
          </cell>
          <cell r="AE47">
            <v>232</v>
          </cell>
        </row>
        <row r="48">
          <cell r="AD48">
            <v>66000</v>
          </cell>
          <cell r="AE48">
            <v>0</v>
          </cell>
        </row>
        <row r="49">
          <cell r="AD49">
            <v>66500</v>
          </cell>
          <cell r="AE49">
            <v>0</v>
          </cell>
        </row>
        <row r="50">
          <cell r="AD50">
            <v>67000</v>
          </cell>
          <cell r="AE50">
            <v>20519</v>
          </cell>
        </row>
        <row r="51">
          <cell r="AD51">
            <v>68000</v>
          </cell>
          <cell r="AE51">
            <v>0</v>
          </cell>
        </row>
        <row r="52">
          <cell r="AD52">
            <v>68500</v>
          </cell>
          <cell r="AE52">
            <v>0</v>
          </cell>
        </row>
        <row r="53">
          <cell r="AD53">
            <v>69000</v>
          </cell>
          <cell r="AE53">
            <v>0</v>
          </cell>
        </row>
        <row r="54">
          <cell r="AD54">
            <v>69500</v>
          </cell>
          <cell r="AE54">
            <v>0</v>
          </cell>
        </row>
        <row r="55">
          <cell r="AD55">
            <v>70500</v>
          </cell>
          <cell r="AE55">
            <v>0</v>
          </cell>
        </row>
        <row r="56">
          <cell r="AD56">
            <v>70600</v>
          </cell>
          <cell r="AE56">
            <v>100000</v>
          </cell>
        </row>
        <row r="57">
          <cell r="AD57">
            <v>71000</v>
          </cell>
          <cell r="AE57">
            <v>282174</v>
          </cell>
        </row>
        <row r="58">
          <cell r="AD58">
            <v>73100</v>
          </cell>
          <cell r="AE58">
            <v>0</v>
          </cell>
        </row>
        <row r="59">
          <cell r="AE59">
            <v>4508876</v>
          </cell>
        </row>
        <row r="60">
          <cell r="AE60">
            <v>4508876</v>
          </cell>
        </row>
        <row r="61">
          <cell r="AE61">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8" t="s">
        <v>0</v>
      </c>
      <c r="B1" s="758"/>
      <c r="C1" s="758"/>
      <c r="D1" s="758"/>
      <c r="E1" s="758"/>
    </row>
    <row r="2" spans="1:5" ht="23.25">
      <c r="A2" s="758" t="s">
        <v>759</v>
      </c>
      <c r="B2" s="758"/>
      <c r="C2" s="758"/>
      <c r="D2" s="758"/>
      <c r="E2" s="758"/>
    </row>
    <row r="3" spans="1:5" ht="21" customHeight="1">
      <c r="A3" s="758" t="s">
        <v>1</v>
      </c>
      <c r="B3" s="758"/>
      <c r="C3" s="758"/>
      <c r="D3" s="758"/>
      <c r="E3" s="758"/>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8"/>
      <c r="B7" s="739"/>
      <c r="C7" s="740"/>
      <c r="D7" s="742"/>
      <c r="E7" s="741"/>
    </row>
    <row r="8" spans="1:5" s="4" customFormat="1" ht="20.100000000000001" customHeight="1">
      <c r="A8" s="738"/>
      <c r="B8" s="739"/>
      <c r="C8" s="740"/>
      <c r="D8" s="742"/>
      <c r="E8" s="741"/>
    </row>
    <row r="9" spans="1:5" s="4" customFormat="1" ht="20.100000000000001" customHeight="1">
      <c r="A9" s="742"/>
      <c r="B9" s="11"/>
      <c r="C9" s="740"/>
      <c r="D9" s="996"/>
      <c r="E9" s="741"/>
    </row>
    <row r="10" spans="1:5" s="4" customFormat="1" ht="20.100000000000001" customHeight="1">
      <c r="A10" s="759" t="s">
        <v>9</v>
      </c>
      <c r="B10" s="13"/>
      <c r="C10" s="14" t="s">
        <v>10</v>
      </c>
      <c r="D10" s="15"/>
      <c r="E10" s="12" t="s">
        <v>10</v>
      </c>
    </row>
    <row r="11" spans="1:5" s="4" customFormat="1" ht="20.100000000000001" customHeight="1">
      <c r="A11" s="759"/>
      <c r="B11" s="13"/>
      <c r="C11" s="13"/>
      <c r="D11" s="15"/>
      <c r="E11" s="13"/>
    </row>
    <row r="12" spans="1:5" ht="20.100000000000001" customHeight="1">
      <c r="A12" s="16"/>
      <c r="B12" s="16"/>
      <c r="C12" s="16"/>
      <c r="D12" s="17"/>
      <c r="E12" s="16"/>
    </row>
    <row r="13" spans="1:5" ht="20.100000000000001" customHeight="1">
      <c r="A13" s="760" t="s">
        <v>10</v>
      </c>
      <c r="B13" s="16"/>
      <c r="C13" s="16"/>
      <c r="D13" s="17"/>
      <c r="E13" s="16"/>
    </row>
    <row r="14" spans="1:5" ht="20.100000000000001" customHeight="1">
      <c r="A14" s="760"/>
      <c r="B14" s="16"/>
      <c r="C14" s="16"/>
      <c r="D14" s="16"/>
      <c r="E14" s="16"/>
    </row>
    <row r="15" spans="1:5" ht="20.100000000000001" customHeight="1">
      <c r="A15" s="760"/>
      <c r="B15" s="16"/>
      <c r="C15" s="16"/>
      <c r="D15" s="16"/>
      <c r="E15" s="16"/>
    </row>
    <row r="16" spans="1:5" ht="20.100000000000001" customHeight="1">
      <c r="A16" s="760"/>
      <c r="B16" s="16"/>
      <c r="C16" s="16"/>
      <c r="D16" s="16"/>
      <c r="E16" s="16"/>
    </row>
    <row r="17" spans="1:6" ht="15" customHeight="1">
      <c r="A17" s="9"/>
      <c r="B17" s="3"/>
      <c r="C17" s="3"/>
      <c r="D17" s="3"/>
      <c r="E17" s="3"/>
    </row>
    <row r="18" spans="1:6" ht="15" customHeight="1">
      <c r="A18" s="735"/>
      <c r="B18" s="736"/>
      <c r="C18" s="736"/>
      <c r="D18" s="736"/>
      <c r="E18" s="736"/>
      <c r="F18" s="737"/>
    </row>
    <row r="19" spans="1:6" ht="19.5" customHeight="1">
      <c r="A19" s="735"/>
      <c r="B19" s="736"/>
      <c r="C19" s="736"/>
      <c r="D19" s="736"/>
      <c r="E19" s="736"/>
      <c r="F19" s="737"/>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view="pageBreakPreview" zoomScale="60" zoomScaleNormal="80" zoomScalePageLayoutView="80" workbookViewId="0">
      <selection activeCell="D53" sqref="D53"/>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622</v>
      </c>
      <c r="F1" s="431"/>
    </row>
    <row r="2" spans="1:8" ht="24" customHeight="1">
      <c r="A2" s="431"/>
      <c r="B2" s="431"/>
      <c r="C2" s="431"/>
      <c r="D2" s="431"/>
      <c r="E2" s="433"/>
      <c r="F2" s="431"/>
    </row>
    <row r="3" spans="1:8" ht="24" customHeight="1" thickBot="1">
      <c r="A3" s="1150" t="s">
        <v>192</v>
      </c>
      <c r="B3" s="1137" t="str">
        <f>'CHECK SHEET'!D7</f>
        <v>Valencia College</v>
      </c>
      <c r="C3" s="1137"/>
      <c r="D3" s="1137"/>
      <c r="E3" s="1137"/>
      <c r="F3" s="434"/>
      <c r="G3" s="427"/>
    </row>
    <row r="4" spans="1:8" ht="24" customHeight="1">
      <c r="A4" s="1133" t="s">
        <v>623</v>
      </c>
      <c r="B4" s="1133"/>
      <c r="C4" s="1133"/>
      <c r="D4" s="1133"/>
      <c r="E4" s="1133"/>
      <c r="F4" s="466"/>
    </row>
    <row r="5" spans="1:8" ht="24" customHeight="1">
      <c r="A5" s="1133" t="s">
        <v>624</v>
      </c>
      <c r="B5" s="1133"/>
      <c r="C5" s="1133"/>
      <c r="D5" s="1133"/>
      <c r="E5" s="1133"/>
      <c r="F5" s="466"/>
    </row>
    <row r="6" spans="1:8" ht="24" customHeight="1">
      <c r="A6" s="1156" t="s">
        <v>774</v>
      </c>
      <c r="B6" s="1156"/>
      <c r="C6" s="1156"/>
      <c r="D6" s="1156"/>
      <c r="E6" s="1156"/>
      <c r="F6" s="467"/>
    </row>
    <row r="7" spans="1:8" ht="20.100000000000001" customHeight="1">
      <c r="A7" s="1154"/>
      <c r="B7" s="1154"/>
      <c r="C7" s="1154"/>
      <c r="D7" s="1155"/>
      <c r="E7" s="1155"/>
      <c r="F7" s="426"/>
    </row>
    <row r="8" spans="1:8" ht="24" customHeight="1" thickBot="1">
      <c r="A8" s="1076" t="s">
        <v>625</v>
      </c>
      <c r="B8" s="1076"/>
      <c r="C8" s="1076"/>
      <c r="D8" s="426"/>
      <c r="E8" s="426"/>
      <c r="F8" s="426"/>
      <c r="H8" s="428"/>
    </row>
    <row r="9" spans="1:8" s="37" customFormat="1" ht="64.349999999999994" customHeight="1" thickBot="1">
      <c r="A9" s="373" t="s">
        <v>626</v>
      </c>
      <c r="B9" s="1049" t="s">
        <v>627</v>
      </c>
      <c r="C9" s="392" t="s">
        <v>628</v>
      </c>
      <c r="D9" s="392" t="s">
        <v>629</v>
      </c>
      <c r="E9" s="462" t="s">
        <v>50</v>
      </c>
      <c r="F9" s="468"/>
      <c r="H9" s="459"/>
    </row>
    <row r="10" spans="1:8" s="37" customFormat="1" ht="20.100000000000001" customHeight="1">
      <c r="A10" s="482" t="s">
        <v>630</v>
      </c>
      <c r="B10" s="578">
        <v>85326174</v>
      </c>
      <c r="C10" s="579">
        <v>2540762</v>
      </c>
      <c r="D10" s="579">
        <v>266035</v>
      </c>
      <c r="E10" s="483">
        <f>SUM(B10:D10)</f>
        <v>88132971</v>
      </c>
      <c r="F10" s="460"/>
      <c r="G10" s="459"/>
    </row>
    <row r="11" spans="1:8" s="37" customFormat="1" ht="20.100000000000001" customHeight="1">
      <c r="A11" s="482" t="s">
        <v>631</v>
      </c>
      <c r="B11" s="580">
        <v>0</v>
      </c>
      <c r="C11" s="570">
        <v>0</v>
      </c>
      <c r="D11" s="570">
        <v>0</v>
      </c>
      <c r="E11" s="484">
        <v>0</v>
      </c>
      <c r="F11" s="460"/>
      <c r="G11" s="459"/>
      <c r="H11" s="459"/>
    </row>
    <row r="12" spans="1:8" s="37" customFormat="1" ht="20.100000000000001" customHeight="1" thickBot="1">
      <c r="A12" s="482" t="s">
        <v>632</v>
      </c>
      <c r="B12" s="580">
        <v>0</v>
      </c>
      <c r="C12" s="570">
        <v>0</v>
      </c>
      <c r="D12" s="570">
        <v>0</v>
      </c>
      <c r="E12" s="484">
        <f>SUM(B12:D12)</f>
        <v>0</v>
      </c>
      <c r="F12" s="460"/>
    </row>
    <row r="13" spans="1:8" s="37" customFormat="1" ht="20.100000000000001" customHeight="1" thickBot="1">
      <c r="A13" s="482" t="s">
        <v>633</v>
      </c>
      <c r="B13" s="485"/>
      <c r="C13" s="486"/>
      <c r="D13" s="486"/>
      <c r="E13" s="487"/>
      <c r="F13" s="460"/>
    </row>
    <row r="14" spans="1:8" s="37" customFormat="1" ht="20.100000000000001" customHeight="1">
      <c r="A14" s="482" t="s">
        <v>634</v>
      </c>
      <c r="B14" s="580">
        <v>30345031</v>
      </c>
      <c r="C14" s="581">
        <v>4205268</v>
      </c>
      <c r="D14" s="581">
        <v>2748316</v>
      </c>
      <c r="E14" s="484">
        <f t="shared" ref="E14:E20" si="0">SUM(B14:D14)</f>
        <v>37298615</v>
      </c>
      <c r="F14" s="460"/>
    </row>
    <row r="15" spans="1:8" s="37" customFormat="1" ht="20.100000000000001" customHeight="1">
      <c r="A15" s="482" t="s">
        <v>635</v>
      </c>
      <c r="B15" s="580">
        <v>1624864</v>
      </c>
      <c r="C15" s="570">
        <v>184200</v>
      </c>
      <c r="D15" s="570">
        <v>0</v>
      </c>
      <c r="E15" s="484">
        <f>SUM(B15:D15)</f>
        <v>1809064</v>
      </c>
      <c r="F15" s="460"/>
    </row>
    <row r="16" spans="1:8" s="37" customFormat="1" ht="20.100000000000001" customHeight="1">
      <c r="A16" s="482" t="s">
        <v>636</v>
      </c>
      <c r="B16" s="580">
        <v>23915837</v>
      </c>
      <c r="C16" s="570">
        <v>290189</v>
      </c>
      <c r="D16" s="570">
        <v>2372</v>
      </c>
      <c r="E16" s="484">
        <f t="shared" si="0"/>
        <v>24208398</v>
      </c>
      <c r="F16" s="460"/>
    </row>
    <row r="17" spans="1:6" s="37" customFormat="1" ht="20.100000000000001" customHeight="1">
      <c r="A17" s="482" t="s">
        <v>637</v>
      </c>
      <c r="B17" s="580">
        <v>34003651</v>
      </c>
      <c r="C17" s="570">
        <v>18563818</v>
      </c>
      <c r="D17" s="570">
        <v>816050</v>
      </c>
      <c r="E17" s="484">
        <f t="shared" si="0"/>
        <v>53383519</v>
      </c>
      <c r="F17" s="460"/>
    </row>
    <row r="18" spans="1:6" s="37" customFormat="1" ht="20.100000000000001" customHeight="1">
      <c r="A18" s="482" t="s">
        <v>638</v>
      </c>
      <c r="B18" s="580">
        <v>12955406</v>
      </c>
      <c r="C18" s="570">
        <v>9162228</v>
      </c>
      <c r="D18" s="570">
        <v>219644</v>
      </c>
      <c r="E18" s="484">
        <f t="shared" si="0"/>
        <v>22337278</v>
      </c>
      <c r="F18" s="460"/>
    </row>
    <row r="19" spans="1:6" s="37" customFormat="1" ht="20.100000000000001" customHeight="1">
      <c r="A19" s="482" t="s">
        <v>639</v>
      </c>
      <c r="B19" s="580">
        <v>0</v>
      </c>
      <c r="C19" s="570">
        <v>0</v>
      </c>
      <c r="D19" s="570">
        <v>0</v>
      </c>
      <c r="E19" s="484">
        <f t="shared" si="0"/>
        <v>0</v>
      </c>
      <c r="F19" s="460"/>
    </row>
    <row r="20" spans="1:6" s="37" customFormat="1" ht="20.100000000000001" customHeight="1" thickBot="1">
      <c r="A20" s="482" t="s">
        <v>640</v>
      </c>
      <c r="B20" s="580">
        <v>0</v>
      </c>
      <c r="C20" s="571">
        <v>0</v>
      </c>
      <c r="D20" s="571">
        <v>0</v>
      </c>
      <c r="E20" s="484">
        <f t="shared" si="0"/>
        <v>0</v>
      </c>
      <c r="F20" s="460"/>
    </row>
    <row r="21" spans="1:6" s="37" customFormat="1" ht="24" customHeight="1" thickBot="1">
      <c r="A21" s="380" t="s">
        <v>50</v>
      </c>
      <c r="B21" s="461">
        <f>SUM(B10:B20)</f>
        <v>188170963</v>
      </c>
      <c r="C21" s="464">
        <f>SUM(C10:C20)</f>
        <v>34946465</v>
      </c>
      <c r="D21" s="464">
        <f>SUM(D10:D20)</f>
        <v>4052417</v>
      </c>
      <c r="E21" s="463">
        <f>SUM(E10:E20)</f>
        <v>227169845</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view="pageBreakPreview" zoomScale="60" zoomScaleNormal="120" zoomScalePageLayoutView="70" workbookViewId="0">
      <selection activeCell="D53" sqref="D53"/>
    </sheetView>
  </sheetViews>
  <sheetFormatPr defaultColWidth="8.85546875" defaultRowHeight="12.75"/>
  <cols>
    <col min="1" max="1" width="78.7109375" customWidth="1"/>
  </cols>
  <sheetData>
    <row r="1" spans="1:7" ht="26.1" customHeight="1">
      <c r="A1" s="626" t="s">
        <v>641</v>
      </c>
      <c r="B1" s="625"/>
      <c r="C1" s="625"/>
      <c r="D1" s="625"/>
      <c r="E1" s="625"/>
      <c r="F1" s="625"/>
      <c r="G1" s="625"/>
    </row>
    <row r="2" spans="1:7" ht="26.25">
      <c r="A2" s="615" t="s">
        <v>642</v>
      </c>
      <c r="B2" s="625"/>
      <c r="C2" s="226"/>
      <c r="D2" s="226"/>
      <c r="E2" s="226"/>
      <c r="F2" s="226"/>
      <c r="G2" s="226"/>
    </row>
    <row r="3" spans="1:7" ht="26.1" customHeight="1">
      <c r="A3" s="614" t="s">
        <v>643</v>
      </c>
      <c r="B3" s="627"/>
      <c r="C3" s="226"/>
      <c r="D3" s="226"/>
      <c r="E3" s="226"/>
      <c r="F3" s="226"/>
      <c r="G3" s="226"/>
    </row>
  </sheetData>
  <printOptions horizontalCentered="1"/>
  <pageMargins left="0.2" right="0.2" top="0.25" bottom="0.25" header="0.3" footer="0.3"/>
  <pageSetup scale="55" orientation="portrait" r:id="rId1"/>
  <headerFooter alignWithMargins="0"/>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2</xdr:col>
                <xdr:colOff>209550</xdr:colOff>
                <xdr:row>52</xdr:row>
                <xdr:rowOff>38100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view="pageBreakPreview" topLeftCell="A124" zoomScale="50" zoomScaleNormal="60" zoomScaleSheetLayoutView="50" zoomScalePageLayoutView="60" workbookViewId="0">
      <selection activeCell="D53" sqref="D53"/>
    </sheetView>
  </sheetViews>
  <sheetFormatPr defaultColWidth="12.42578125" defaultRowHeight="15.75"/>
  <cols>
    <col min="1" max="1" width="26.42578125" style="284" customWidth="1"/>
    <col min="2" max="2" width="85" style="284" customWidth="1"/>
    <col min="3" max="3" width="41.14062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33" t="s">
        <v>192</v>
      </c>
      <c r="B1" s="1157" t="str">
        <f>'CHECK SHEET'!D7</f>
        <v>Valencia College</v>
      </c>
      <c r="C1" s="1157"/>
      <c r="D1" s="1157"/>
      <c r="E1" s="1157"/>
      <c r="F1" s="115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58" t="s">
        <v>644</v>
      </c>
      <c r="B2" s="1158"/>
      <c r="C2" s="1158"/>
      <c r="D2" s="1158"/>
      <c r="E2" s="1158"/>
      <c r="F2" s="115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59" t="s">
        <v>645</v>
      </c>
      <c r="B3" s="1159"/>
      <c r="C3" s="1159"/>
      <c r="D3" s="1159"/>
      <c r="E3" s="1159"/>
      <c r="F3" s="1159"/>
    </row>
    <row r="4" spans="1:224" ht="30" customHeight="1">
      <c r="A4" s="1158" t="s">
        <v>774</v>
      </c>
      <c r="B4" s="1158"/>
      <c r="C4" s="1158"/>
      <c r="D4" s="1158"/>
      <c r="E4" s="1158"/>
      <c r="F4" s="115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095"/>
      <c r="B5" s="1095"/>
      <c r="C5" s="1095"/>
      <c r="D5" s="1095"/>
      <c r="E5" s="1095"/>
      <c r="F5" s="109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093" t="s">
        <v>625</v>
      </c>
      <c r="B7" s="1094"/>
      <c r="C7" s="1087" t="s">
        <v>740</v>
      </c>
      <c r="D7" s="1088"/>
      <c r="E7" s="1088"/>
      <c r="F7" s="108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22" t="s">
        <v>646</v>
      </c>
      <c r="B8" s="1223"/>
      <c r="C8" s="295" t="s">
        <v>284</v>
      </c>
      <c r="D8" s="296" t="s">
        <v>647</v>
      </c>
      <c r="E8" s="702" t="s">
        <v>648</v>
      </c>
      <c r="F8" s="297" t="s">
        <v>649</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85" t="s">
        <v>424</v>
      </c>
      <c r="B9" s="109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425</v>
      </c>
      <c r="B10" s="319"/>
      <c r="C10" s="703" t="s">
        <v>426</v>
      </c>
      <c r="D10" s="582">
        <v>0</v>
      </c>
      <c r="E10" s="582">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0" t="s">
        <v>427</v>
      </c>
      <c r="B11" s="931"/>
      <c r="C11" s="932" t="s">
        <v>428</v>
      </c>
      <c r="D11" s="933">
        <v>24114</v>
      </c>
      <c r="E11" s="933">
        <v>0</v>
      </c>
      <c r="F11" s="934">
        <f t="shared" si="0"/>
        <v>24114</v>
      </c>
      <c r="G11" s="308"/>
      <c r="H11" s="309"/>
      <c r="I11" s="300"/>
      <c r="J11" s="293"/>
      <c r="K11" s="301"/>
      <c r="L11" s="301"/>
      <c r="M11" s="301"/>
      <c r="N11" s="301"/>
      <c r="O11" s="309"/>
      <c r="P11" s="309"/>
      <c r="Q11" s="309"/>
      <c r="R11" s="310"/>
      <c r="S11" s="310"/>
      <c r="T11" s="310"/>
      <c r="U11" s="310"/>
    </row>
    <row r="12" spans="1:224" s="311" customFormat="1" ht="30" customHeight="1">
      <c r="A12" s="930" t="s">
        <v>429</v>
      </c>
      <c r="B12" s="931"/>
      <c r="C12" s="932" t="s">
        <v>430</v>
      </c>
      <c r="D12" s="933">
        <v>117850</v>
      </c>
      <c r="E12" s="933">
        <v>0</v>
      </c>
      <c r="F12" s="934">
        <f t="shared" si="0"/>
        <v>117850</v>
      </c>
      <c r="G12" s="308"/>
      <c r="H12" s="309"/>
      <c r="I12" s="300"/>
      <c r="J12" s="293"/>
      <c r="K12" s="301"/>
      <c r="L12" s="301"/>
      <c r="M12" s="301"/>
      <c r="N12" s="301"/>
      <c r="O12" s="309"/>
      <c r="P12" s="309"/>
      <c r="Q12" s="309"/>
      <c r="R12" s="310"/>
      <c r="S12" s="310"/>
      <c r="T12" s="310"/>
      <c r="U12" s="310"/>
    </row>
    <row r="13" spans="1:224" s="311" customFormat="1" ht="30" customHeight="1">
      <c r="A13" s="930" t="s">
        <v>431</v>
      </c>
      <c r="B13" s="931"/>
      <c r="C13" s="932" t="s">
        <v>432</v>
      </c>
      <c r="D13" s="933">
        <f>IFERROR(VLOOKUP(C13,'[2]all combined'!$AD:$AE,2,FALSE),0)</f>
        <v>0</v>
      </c>
      <c r="E13" s="933">
        <v>0</v>
      </c>
      <c r="F13" s="934">
        <f t="shared" si="0"/>
        <v>0</v>
      </c>
      <c r="G13" s="308"/>
      <c r="H13" s="309"/>
      <c r="I13" s="300"/>
      <c r="J13" s="293"/>
      <c r="K13" s="301"/>
      <c r="L13" s="301"/>
      <c r="M13" s="301"/>
      <c r="N13" s="301"/>
      <c r="O13" s="309"/>
      <c r="P13" s="309"/>
      <c r="Q13" s="309"/>
      <c r="R13" s="310"/>
      <c r="S13" s="310"/>
      <c r="T13" s="310"/>
      <c r="U13" s="310"/>
    </row>
    <row r="14" spans="1:224" s="311" customFormat="1" ht="30" customHeight="1">
      <c r="A14" s="930" t="s">
        <v>433</v>
      </c>
      <c r="B14" s="931"/>
      <c r="C14" s="932" t="s">
        <v>434</v>
      </c>
      <c r="D14" s="933">
        <f>IFERROR(VLOOKUP(C14,'[2]all combined'!$AD:$AE,2,FALSE),0)</f>
        <v>0</v>
      </c>
      <c r="E14" s="933">
        <v>0</v>
      </c>
      <c r="F14" s="934">
        <f t="shared" si="0"/>
        <v>0</v>
      </c>
      <c r="G14" s="308"/>
      <c r="H14" s="309"/>
      <c r="I14" s="300"/>
      <c r="J14" s="293"/>
      <c r="K14" s="301"/>
      <c r="L14" s="301"/>
      <c r="M14" s="301"/>
      <c r="N14" s="301"/>
      <c r="O14" s="309"/>
      <c r="P14" s="309"/>
      <c r="Q14" s="309"/>
      <c r="R14" s="310"/>
      <c r="S14" s="310"/>
      <c r="T14" s="310"/>
      <c r="U14" s="310"/>
    </row>
    <row r="15" spans="1:224" s="311" customFormat="1" ht="30" customHeight="1">
      <c r="A15" s="930" t="s">
        <v>435</v>
      </c>
      <c r="B15" s="931"/>
      <c r="C15" s="932" t="s">
        <v>436</v>
      </c>
      <c r="D15" s="933">
        <v>1225158</v>
      </c>
      <c r="E15" s="933">
        <v>0</v>
      </c>
      <c r="F15" s="934">
        <f t="shared" si="0"/>
        <v>1225158</v>
      </c>
      <c r="G15" s="308"/>
      <c r="H15" s="309"/>
      <c r="I15" s="300"/>
      <c r="J15" s="293"/>
      <c r="K15" s="312"/>
      <c r="L15" s="312"/>
      <c r="M15" s="312"/>
      <c r="N15" s="312"/>
      <c r="O15" s="309"/>
      <c r="P15" s="309"/>
      <c r="Q15" s="309"/>
      <c r="R15" s="310"/>
      <c r="S15" s="310"/>
      <c r="T15" s="310"/>
      <c r="U15" s="310"/>
    </row>
    <row r="16" spans="1:224" s="311" customFormat="1" ht="30" customHeight="1">
      <c r="A16" s="930" t="s">
        <v>437</v>
      </c>
      <c r="B16" s="931"/>
      <c r="C16" s="932" t="s">
        <v>438</v>
      </c>
      <c r="D16" s="933">
        <v>195832</v>
      </c>
      <c r="E16" s="933">
        <v>0</v>
      </c>
      <c r="F16" s="934">
        <f t="shared" si="0"/>
        <v>195832</v>
      </c>
      <c r="G16" s="308"/>
      <c r="H16" s="309"/>
      <c r="I16" s="309"/>
      <c r="J16" s="309"/>
      <c r="K16" s="309"/>
      <c r="L16" s="309"/>
      <c r="M16" s="309"/>
      <c r="N16" s="309"/>
      <c r="O16" s="309"/>
      <c r="P16" s="309"/>
      <c r="Q16" s="309"/>
      <c r="R16" s="310"/>
      <c r="S16" s="310"/>
      <c r="T16" s="310"/>
      <c r="U16" s="310"/>
    </row>
    <row r="17" spans="1:21" s="311" customFormat="1" ht="30" customHeight="1">
      <c r="A17" s="930" t="s">
        <v>439</v>
      </c>
      <c r="B17" s="931"/>
      <c r="C17" s="932" t="s">
        <v>440</v>
      </c>
      <c r="D17" s="933">
        <v>0</v>
      </c>
      <c r="E17" s="933">
        <v>0</v>
      </c>
      <c r="F17" s="934">
        <f t="shared" si="0"/>
        <v>0</v>
      </c>
      <c r="G17" s="308"/>
      <c r="H17" s="309"/>
      <c r="I17" s="309"/>
      <c r="J17" s="309"/>
      <c r="K17" s="309"/>
      <c r="L17" s="309"/>
      <c r="M17" s="309"/>
      <c r="N17" s="309"/>
      <c r="O17" s="309"/>
      <c r="P17" s="309"/>
      <c r="Q17" s="309"/>
      <c r="R17" s="310"/>
      <c r="S17" s="310"/>
      <c r="T17" s="310"/>
      <c r="U17" s="310"/>
    </row>
    <row r="18" spans="1:21" s="311" customFormat="1" ht="30" customHeight="1">
      <c r="A18" s="930" t="s">
        <v>441</v>
      </c>
      <c r="B18" s="931"/>
      <c r="C18" s="932" t="s">
        <v>442</v>
      </c>
      <c r="D18" s="933">
        <v>7084</v>
      </c>
      <c r="E18" s="933">
        <v>0</v>
      </c>
      <c r="F18" s="934">
        <f t="shared" si="0"/>
        <v>7084</v>
      </c>
      <c r="G18" s="308"/>
      <c r="H18" s="309"/>
      <c r="I18" s="309"/>
      <c r="J18" s="309"/>
      <c r="K18" s="309"/>
      <c r="L18" s="309"/>
      <c r="M18" s="309"/>
      <c r="N18" s="309"/>
      <c r="O18" s="309"/>
      <c r="P18" s="309"/>
      <c r="Q18" s="309"/>
      <c r="R18" s="310"/>
      <c r="S18" s="310"/>
      <c r="T18" s="310"/>
      <c r="U18" s="310"/>
    </row>
    <row r="19" spans="1:21" s="311" customFormat="1" ht="30" customHeight="1">
      <c r="A19" s="930" t="s">
        <v>443</v>
      </c>
      <c r="B19" s="931"/>
      <c r="C19" s="932" t="s">
        <v>444</v>
      </c>
      <c r="D19" s="933">
        <v>0</v>
      </c>
      <c r="E19" s="933">
        <v>0</v>
      </c>
      <c r="F19" s="934">
        <f t="shared" si="0"/>
        <v>0</v>
      </c>
      <c r="G19" s="308"/>
      <c r="H19" s="309"/>
      <c r="I19" s="309"/>
      <c r="J19" s="309"/>
      <c r="K19" s="309"/>
      <c r="L19" s="309"/>
      <c r="M19" s="309"/>
      <c r="N19" s="309"/>
      <c r="O19" s="309"/>
      <c r="P19" s="309"/>
      <c r="Q19" s="309"/>
      <c r="R19" s="310"/>
      <c r="S19" s="310"/>
      <c r="T19" s="310"/>
      <c r="U19" s="310"/>
    </row>
    <row r="20" spans="1:21" s="311" customFormat="1" ht="30" customHeight="1">
      <c r="A20" s="930" t="s">
        <v>445</v>
      </c>
      <c r="B20" s="931"/>
      <c r="C20" s="932">
        <v>52500</v>
      </c>
      <c r="D20" s="933">
        <v>0</v>
      </c>
      <c r="E20" s="933">
        <v>0</v>
      </c>
      <c r="F20" s="934">
        <f>+D20+E20</f>
        <v>0</v>
      </c>
      <c r="G20" s="308"/>
      <c r="H20" s="309"/>
      <c r="I20" s="309"/>
      <c r="J20" s="309"/>
      <c r="K20" s="309"/>
      <c r="L20" s="309"/>
      <c r="M20" s="309"/>
      <c r="N20" s="309"/>
      <c r="O20" s="309"/>
      <c r="P20" s="309"/>
      <c r="Q20" s="309"/>
      <c r="R20" s="310"/>
      <c r="S20" s="310"/>
      <c r="T20" s="310"/>
      <c r="U20" s="310"/>
    </row>
    <row r="21" spans="1:21" s="311" customFormat="1" ht="30" customHeight="1">
      <c r="A21" s="930" t="s">
        <v>446</v>
      </c>
      <c r="B21" s="931"/>
      <c r="C21" s="932" t="s">
        <v>447</v>
      </c>
      <c r="D21" s="933">
        <v>0</v>
      </c>
      <c r="E21" s="933">
        <v>0</v>
      </c>
      <c r="F21" s="934">
        <f t="shared" si="0"/>
        <v>0</v>
      </c>
      <c r="G21" s="308"/>
      <c r="H21" s="309"/>
      <c r="I21" s="309"/>
      <c r="J21" s="309"/>
      <c r="K21" s="309"/>
      <c r="L21" s="309"/>
      <c r="M21" s="309"/>
      <c r="N21" s="309"/>
      <c r="O21" s="309"/>
      <c r="P21" s="309"/>
      <c r="Q21" s="309"/>
      <c r="R21" s="310"/>
      <c r="S21" s="310"/>
      <c r="T21" s="310"/>
      <c r="U21" s="310"/>
    </row>
    <row r="22" spans="1:21" s="311" customFormat="1" ht="30" customHeight="1">
      <c r="A22" s="930" t="s">
        <v>448</v>
      </c>
      <c r="B22" s="931"/>
      <c r="C22" s="932" t="s">
        <v>449</v>
      </c>
      <c r="D22" s="933">
        <v>0</v>
      </c>
      <c r="E22" s="933">
        <v>0</v>
      </c>
      <c r="F22" s="934">
        <f t="shared" si="0"/>
        <v>0</v>
      </c>
      <c r="G22" s="308"/>
      <c r="H22" s="309"/>
      <c r="I22" s="309"/>
      <c r="J22" s="309"/>
      <c r="K22" s="309"/>
      <c r="L22" s="309"/>
      <c r="M22" s="309"/>
      <c r="N22" s="309"/>
      <c r="O22" s="309"/>
      <c r="P22" s="309"/>
      <c r="Q22" s="309"/>
      <c r="R22" s="310"/>
      <c r="S22" s="310"/>
      <c r="T22" s="310"/>
      <c r="U22" s="310"/>
    </row>
    <row r="23" spans="1:21" s="311" customFormat="1" ht="30" customHeight="1">
      <c r="A23" s="930" t="s">
        <v>450</v>
      </c>
      <c r="B23" s="931"/>
      <c r="C23" s="932" t="s">
        <v>451</v>
      </c>
      <c r="D23" s="933">
        <v>0</v>
      </c>
      <c r="E23" s="933">
        <v>0</v>
      </c>
      <c r="F23" s="934">
        <f t="shared" si="0"/>
        <v>0</v>
      </c>
      <c r="G23" s="308"/>
      <c r="H23" s="309"/>
      <c r="I23" s="309"/>
      <c r="J23" s="309"/>
      <c r="K23" s="309"/>
      <c r="L23" s="309"/>
      <c r="M23" s="309"/>
      <c r="N23" s="309"/>
      <c r="O23" s="309"/>
      <c r="P23" s="309"/>
      <c r="Q23" s="309"/>
      <c r="R23" s="310"/>
      <c r="S23" s="310"/>
      <c r="T23" s="310"/>
      <c r="U23" s="310"/>
    </row>
    <row r="24" spans="1:21" s="311" customFormat="1" ht="30" customHeight="1">
      <c r="A24" s="930" t="s">
        <v>452</v>
      </c>
      <c r="B24" s="931"/>
      <c r="C24" s="932" t="s">
        <v>453</v>
      </c>
      <c r="D24" s="933">
        <v>0</v>
      </c>
      <c r="E24" s="933">
        <v>0</v>
      </c>
      <c r="F24" s="934">
        <f t="shared" si="0"/>
        <v>0</v>
      </c>
      <c r="G24" s="308"/>
      <c r="H24" s="309"/>
      <c r="I24" s="309"/>
      <c r="J24" s="309"/>
      <c r="K24" s="309"/>
      <c r="L24" s="309"/>
      <c r="M24" s="309"/>
      <c r="N24" s="309"/>
      <c r="O24" s="309"/>
      <c r="P24" s="309"/>
      <c r="Q24" s="309"/>
      <c r="R24" s="310"/>
      <c r="S24" s="310"/>
      <c r="T24" s="310"/>
      <c r="U24" s="310"/>
    </row>
    <row r="25" spans="1:21" s="311" customFormat="1" ht="30" customHeight="1">
      <c r="A25" s="930" t="s">
        <v>454</v>
      </c>
      <c r="B25" s="931"/>
      <c r="C25" s="932" t="s">
        <v>455</v>
      </c>
      <c r="D25" s="933">
        <v>62145</v>
      </c>
      <c r="E25" s="933">
        <v>0</v>
      </c>
      <c r="F25" s="934">
        <f t="shared" si="0"/>
        <v>62145</v>
      </c>
      <c r="G25" s="308"/>
      <c r="H25" s="309"/>
      <c r="I25" s="309"/>
      <c r="J25" s="309"/>
      <c r="K25" s="309"/>
      <c r="L25" s="309"/>
      <c r="M25" s="309"/>
      <c r="N25" s="309"/>
      <c r="O25" s="309"/>
      <c r="P25" s="309"/>
      <c r="Q25" s="309"/>
      <c r="R25" s="310"/>
      <c r="S25" s="310"/>
      <c r="T25" s="310"/>
      <c r="U25" s="310"/>
    </row>
    <row r="26" spans="1:21" s="311" customFormat="1" ht="30" customHeight="1">
      <c r="A26" s="930" t="s">
        <v>456</v>
      </c>
      <c r="B26" s="931"/>
      <c r="C26" s="932" t="s">
        <v>457</v>
      </c>
      <c r="D26" s="933">
        <v>0</v>
      </c>
      <c r="E26" s="933">
        <v>0</v>
      </c>
      <c r="F26" s="934">
        <f t="shared" si="0"/>
        <v>0</v>
      </c>
      <c r="G26" s="308"/>
      <c r="H26" s="309"/>
      <c r="I26" s="309"/>
      <c r="J26" s="309"/>
      <c r="K26" s="309"/>
      <c r="L26" s="309"/>
      <c r="M26" s="309"/>
      <c r="N26" s="309"/>
      <c r="O26" s="309"/>
      <c r="P26" s="309"/>
      <c r="Q26" s="309"/>
      <c r="R26" s="310"/>
      <c r="S26" s="310"/>
      <c r="T26" s="310"/>
      <c r="U26" s="310"/>
    </row>
    <row r="27" spans="1:21" s="311" customFormat="1" ht="30" customHeight="1">
      <c r="A27" s="930" t="s">
        <v>458</v>
      </c>
      <c r="B27" s="931"/>
      <c r="C27" s="932" t="s">
        <v>459</v>
      </c>
      <c r="D27" s="933">
        <v>0</v>
      </c>
      <c r="E27" s="933">
        <v>0</v>
      </c>
      <c r="F27" s="934">
        <f t="shared" si="0"/>
        <v>0</v>
      </c>
      <c r="G27" s="308"/>
      <c r="H27" s="309"/>
      <c r="I27" s="309"/>
      <c r="J27" s="309"/>
      <c r="K27" s="309"/>
      <c r="L27" s="309"/>
      <c r="M27" s="309"/>
      <c r="N27" s="309"/>
      <c r="O27" s="309"/>
      <c r="P27" s="309"/>
      <c r="Q27" s="309"/>
      <c r="R27" s="310"/>
      <c r="S27" s="310"/>
      <c r="T27" s="310"/>
      <c r="U27" s="310"/>
    </row>
    <row r="28" spans="1:21" s="311" customFormat="1" ht="30" customHeight="1">
      <c r="A28" s="930" t="s">
        <v>460</v>
      </c>
      <c r="B28" s="931"/>
      <c r="C28" s="932" t="s">
        <v>461</v>
      </c>
      <c r="D28" s="933">
        <v>0</v>
      </c>
      <c r="E28" s="933">
        <v>0</v>
      </c>
      <c r="F28" s="934">
        <f t="shared" si="0"/>
        <v>0</v>
      </c>
      <c r="G28" s="308"/>
      <c r="H28" s="309"/>
      <c r="I28" s="309"/>
      <c r="J28" s="309"/>
      <c r="K28" s="309"/>
      <c r="L28" s="309"/>
      <c r="M28" s="309"/>
      <c r="N28" s="309"/>
      <c r="O28" s="309"/>
      <c r="P28" s="309"/>
      <c r="Q28" s="309"/>
      <c r="R28" s="310"/>
      <c r="S28" s="310"/>
      <c r="T28" s="310"/>
      <c r="U28" s="310"/>
    </row>
    <row r="29" spans="1:21" s="311" customFormat="1" ht="30" customHeight="1">
      <c r="A29" s="930" t="s">
        <v>462</v>
      </c>
      <c r="B29" s="931"/>
      <c r="C29" s="932" t="s">
        <v>463</v>
      </c>
      <c r="D29" s="933">
        <v>0</v>
      </c>
      <c r="E29" s="933">
        <v>0</v>
      </c>
      <c r="F29" s="934">
        <f t="shared" si="0"/>
        <v>0</v>
      </c>
      <c r="G29" s="308"/>
      <c r="H29" s="309"/>
      <c r="I29" s="309"/>
      <c r="J29" s="309"/>
      <c r="K29" s="309"/>
      <c r="L29" s="309"/>
      <c r="M29" s="309"/>
      <c r="N29" s="309"/>
      <c r="O29" s="309"/>
      <c r="P29" s="309"/>
      <c r="Q29" s="309"/>
      <c r="R29" s="310"/>
      <c r="S29" s="310"/>
      <c r="T29" s="310"/>
      <c r="U29" s="310"/>
    </row>
    <row r="30" spans="1:21" s="311" customFormat="1" ht="30" customHeight="1">
      <c r="A30" s="930" t="s">
        <v>464</v>
      </c>
      <c r="B30" s="931"/>
      <c r="C30" s="932" t="s">
        <v>465</v>
      </c>
      <c r="D30" s="933">
        <v>311756</v>
      </c>
      <c r="E30" s="933">
        <v>0</v>
      </c>
      <c r="F30" s="934">
        <f t="shared" si="0"/>
        <v>311756</v>
      </c>
      <c r="G30" s="308"/>
      <c r="H30" s="309"/>
      <c r="I30" s="309"/>
      <c r="J30" s="309"/>
      <c r="K30" s="309"/>
      <c r="L30" s="309"/>
      <c r="M30" s="309"/>
      <c r="N30" s="309"/>
      <c r="O30" s="309"/>
      <c r="P30" s="309"/>
      <c r="Q30" s="309"/>
      <c r="R30" s="310"/>
      <c r="S30" s="310"/>
      <c r="T30" s="310"/>
      <c r="U30" s="310"/>
    </row>
    <row r="31" spans="1:21" s="311" customFormat="1" ht="30" customHeight="1">
      <c r="A31" s="930" t="s">
        <v>466</v>
      </c>
      <c r="B31" s="931"/>
      <c r="C31" s="932" t="s">
        <v>467</v>
      </c>
      <c r="D31" s="933">
        <v>0</v>
      </c>
      <c r="E31" s="933">
        <v>0</v>
      </c>
      <c r="F31" s="934">
        <f t="shared" si="0"/>
        <v>0</v>
      </c>
      <c r="G31" s="308"/>
      <c r="H31" s="309"/>
      <c r="I31" s="309"/>
      <c r="J31" s="309"/>
      <c r="K31" s="309"/>
      <c r="L31" s="309"/>
      <c r="M31" s="309"/>
      <c r="N31" s="309"/>
      <c r="O31" s="309"/>
      <c r="P31" s="309"/>
      <c r="Q31" s="309"/>
      <c r="R31" s="310"/>
      <c r="S31" s="310"/>
      <c r="T31" s="310"/>
      <c r="U31" s="310"/>
    </row>
    <row r="32" spans="1:21" s="311" customFormat="1" ht="30" customHeight="1">
      <c r="A32" s="930" t="s">
        <v>468</v>
      </c>
      <c r="B32" s="931"/>
      <c r="C32" s="932" t="s">
        <v>469</v>
      </c>
      <c r="D32" s="933">
        <v>1448</v>
      </c>
      <c r="E32" s="933">
        <v>0</v>
      </c>
      <c r="F32" s="934">
        <f>+D32+E32</f>
        <v>1448</v>
      </c>
      <c r="G32" s="308"/>
      <c r="H32" s="309"/>
      <c r="I32" s="309"/>
      <c r="J32" s="309"/>
      <c r="K32" s="309"/>
      <c r="L32" s="309"/>
      <c r="M32" s="309"/>
      <c r="N32" s="309"/>
      <c r="O32" s="309"/>
      <c r="P32" s="309"/>
      <c r="Q32" s="309"/>
      <c r="R32" s="310"/>
      <c r="S32" s="310"/>
      <c r="T32" s="310"/>
      <c r="U32" s="310"/>
    </row>
    <row r="33" spans="1:21" s="311" customFormat="1" ht="30" customHeight="1">
      <c r="A33" s="930" t="s">
        <v>470</v>
      </c>
      <c r="B33" s="931"/>
      <c r="C33" s="932" t="s">
        <v>471</v>
      </c>
      <c r="D33" s="933">
        <v>0</v>
      </c>
      <c r="E33" s="933">
        <v>0</v>
      </c>
      <c r="F33" s="934">
        <f t="shared" si="0"/>
        <v>0</v>
      </c>
      <c r="G33" s="308"/>
      <c r="H33" s="309"/>
      <c r="I33" s="309"/>
      <c r="J33" s="309"/>
      <c r="K33" s="309"/>
      <c r="L33" s="309"/>
      <c r="M33" s="309"/>
      <c r="N33" s="309"/>
      <c r="O33" s="309"/>
      <c r="P33" s="309"/>
      <c r="Q33" s="309"/>
      <c r="R33" s="310"/>
      <c r="S33" s="310"/>
      <c r="T33" s="310"/>
      <c r="U33" s="310"/>
    </row>
    <row r="34" spans="1:21" s="311" customFormat="1" ht="30" customHeight="1">
      <c r="A34" s="930" t="s">
        <v>472</v>
      </c>
      <c r="B34" s="931"/>
      <c r="C34" s="932" t="s">
        <v>473</v>
      </c>
      <c r="D34" s="933">
        <v>443483</v>
      </c>
      <c r="E34" s="933">
        <v>0</v>
      </c>
      <c r="F34" s="934">
        <f t="shared" si="0"/>
        <v>443483</v>
      </c>
      <c r="G34" s="308"/>
      <c r="H34" s="309"/>
      <c r="I34" s="309"/>
      <c r="J34" s="309"/>
      <c r="K34" s="309"/>
      <c r="L34" s="309"/>
      <c r="M34" s="309"/>
      <c r="N34" s="309"/>
      <c r="O34" s="309"/>
      <c r="P34" s="309"/>
      <c r="Q34" s="309"/>
      <c r="R34" s="310"/>
      <c r="S34" s="310"/>
      <c r="T34" s="310"/>
      <c r="U34" s="310"/>
    </row>
    <row r="35" spans="1:21" s="311" customFormat="1" ht="30" customHeight="1">
      <c r="A35" s="930" t="s">
        <v>474</v>
      </c>
      <c r="B35" s="931"/>
      <c r="C35" s="932">
        <v>56001</v>
      </c>
      <c r="D35" s="933">
        <v>0</v>
      </c>
      <c r="E35" s="933">
        <v>0</v>
      </c>
      <c r="F35" s="934">
        <f>+D35+E35</f>
        <v>0</v>
      </c>
      <c r="G35" s="308"/>
      <c r="H35" s="309"/>
      <c r="I35" s="309"/>
      <c r="J35" s="309"/>
      <c r="K35" s="309"/>
      <c r="L35" s="309"/>
      <c r="M35" s="309"/>
      <c r="N35" s="309"/>
      <c r="O35" s="309"/>
      <c r="P35" s="309"/>
      <c r="Q35" s="309"/>
      <c r="R35" s="310"/>
      <c r="S35" s="310"/>
      <c r="T35" s="310"/>
      <c r="U35" s="310"/>
    </row>
    <row r="36" spans="1:21" s="311" customFormat="1" ht="30" customHeight="1">
      <c r="A36" s="930" t="s">
        <v>475</v>
      </c>
      <c r="B36" s="931"/>
      <c r="C36" s="932">
        <v>56002</v>
      </c>
      <c r="D36" s="933">
        <v>0</v>
      </c>
      <c r="E36" s="933">
        <v>0</v>
      </c>
      <c r="F36" s="934">
        <f>+D36+E36</f>
        <v>0</v>
      </c>
      <c r="G36" s="308"/>
      <c r="H36" s="309"/>
      <c r="I36" s="309"/>
      <c r="J36" s="309"/>
      <c r="K36" s="309"/>
      <c r="L36" s="309"/>
      <c r="M36" s="309"/>
      <c r="N36" s="309"/>
      <c r="O36" s="309"/>
      <c r="P36" s="309"/>
      <c r="Q36" s="309"/>
      <c r="R36" s="310"/>
      <c r="S36" s="310"/>
      <c r="T36" s="310"/>
      <c r="U36" s="310"/>
    </row>
    <row r="37" spans="1:21" s="311" customFormat="1" ht="30" customHeight="1">
      <c r="A37" s="930" t="s">
        <v>476</v>
      </c>
      <c r="B37" s="931"/>
      <c r="C37" s="932">
        <v>56003</v>
      </c>
      <c r="D37" s="933">
        <v>0</v>
      </c>
      <c r="E37" s="933">
        <v>0</v>
      </c>
      <c r="F37" s="934">
        <f>+D37+E37</f>
        <v>0</v>
      </c>
      <c r="G37" s="308"/>
      <c r="H37" s="309"/>
      <c r="I37" s="309"/>
      <c r="J37" s="309"/>
      <c r="K37" s="309"/>
      <c r="L37" s="309"/>
      <c r="M37" s="309"/>
      <c r="N37" s="309"/>
      <c r="O37" s="309"/>
      <c r="P37" s="309"/>
      <c r="Q37" s="309"/>
      <c r="R37" s="310"/>
      <c r="S37" s="310"/>
      <c r="T37" s="310"/>
      <c r="U37" s="310"/>
    </row>
    <row r="38" spans="1:21" s="311" customFormat="1" ht="30" customHeight="1">
      <c r="A38" s="930" t="s">
        <v>477</v>
      </c>
      <c r="B38" s="931"/>
      <c r="C38" s="932" t="s">
        <v>478</v>
      </c>
      <c r="D38" s="933">
        <v>0</v>
      </c>
      <c r="E38" s="933">
        <v>0</v>
      </c>
      <c r="F38" s="934">
        <f>+D38+E38</f>
        <v>0</v>
      </c>
      <c r="G38" s="308"/>
      <c r="H38" s="309"/>
      <c r="I38" s="309"/>
      <c r="J38" s="309"/>
      <c r="K38" s="309"/>
      <c r="L38" s="309"/>
      <c r="M38" s="309"/>
      <c r="N38" s="309"/>
      <c r="O38" s="309"/>
      <c r="P38" s="309"/>
      <c r="Q38" s="309"/>
      <c r="R38" s="310"/>
      <c r="S38" s="310"/>
      <c r="T38" s="310"/>
      <c r="U38" s="310"/>
    </row>
    <row r="39" spans="1:21" s="311" customFormat="1" ht="30" customHeight="1">
      <c r="A39" s="930" t="s">
        <v>479</v>
      </c>
      <c r="B39" s="931"/>
      <c r="C39" s="932" t="s">
        <v>480</v>
      </c>
      <c r="D39" s="933">
        <v>0</v>
      </c>
      <c r="E39" s="933">
        <v>0</v>
      </c>
      <c r="F39" s="934">
        <f t="shared" si="0"/>
        <v>0</v>
      </c>
      <c r="G39" s="308"/>
      <c r="H39" s="309"/>
      <c r="I39" s="309"/>
      <c r="J39" s="309"/>
      <c r="K39" s="309"/>
      <c r="L39" s="309"/>
      <c r="M39" s="309"/>
      <c r="N39" s="309"/>
      <c r="O39" s="309"/>
      <c r="P39" s="309"/>
      <c r="Q39" s="309"/>
      <c r="R39" s="310"/>
      <c r="S39" s="310"/>
      <c r="T39" s="310"/>
      <c r="U39" s="310"/>
    </row>
    <row r="40" spans="1:21" s="311" customFormat="1" ht="30" customHeight="1">
      <c r="A40" s="930" t="s">
        <v>481</v>
      </c>
      <c r="B40" s="931"/>
      <c r="C40" s="932" t="s">
        <v>482</v>
      </c>
      <c r="D40" s="933">
        <v>0</v>
      </c>
      <c r="E40" s="933">
        <v>0</v>
      </c>
      <c r="F40" s="934">
        <f t="shared" si="0"/>
        <v>0</v>
      </c>
      <c r="G40" s="308"/>
      <c r="H40" s="309"/>
      <c r="I40" s="309"/>
      <c r="J40" s="309"/>
      <c r="K40" s="309"/>
      <c r="L40" s="309"/>
      <c r="M40" s="309"/>
      <c r="N40" s="309"/>
      <c r="O40" s="309"/>
      <c r="P40" s="309"/>
      <c r="Q40" s="309"/>
      <c r="R40" s="310"/>
      <c r="S40" s="310"/>
      <c r="T40" s="310"/>
      <c r="U40" s="310"/>
    </row>
    <row r="41" spans="1:21" s="311" customFormat="1" ht="30" customHeight="1">
      <c r="A41" s="930" t="s">
        <v>483</v>
      </c>
      <c r="B41" s="931"/>
      <c r="C41" s="932" t="s">
        <v>484</v>
      </c>
      <c r="D41" s="933">
        <v>31996</v>
      </c>
      <c r="E41" s="933">
        <v>0</v>
      </c>
      <c r="F41" s="934">
        <f t="shared" si="0"/>
        <v>31996</v>
      </c>
      <c r="G41" s="308"/>
      <c r="H41" s="309"/>
      <c r="I41" s="309"/>
      <c r="J41" s="309"/>
      <c r="K41" s="309"/>
      <c r="L41" s="309"/>
      <c r="M41" s="309"/>
      <c r="N41" s="309"/>
      <c r="O41" s="309"/>
      <c r="P41" s="309"/>
      <c r="Q41" s="309"/>
      <c r="R41" s="310"/>
      <c r="S41" s="310"/>
      <c r="T41" s="310"/>
      <c r="U41" s="310"/>
    </row>
    <row r="42" spans="1:21" s="311" customFormat="1" ht="30" customHeight="1">
      <c r="A42" s="930" t="s">
        <v>485</v>
      </c>
      <c r="B42" s="931"/>
      <c r="C42" s="932" t="s">
        <v>486</v>
      </c>
      <c r="D42" s="933">
        <v>0</v>
      </c>
      <c r="E42" s="933">
        <v>0</v>
      </c>
      <c r="F42" s="934">
        <f t="shared" si="0"/>
        <v>0</v>
      </c>
      <c r="G42" s="308"/>
      <c r="H42" s="309"/>
      <c r="I42" s="309"/>
      <c r="J42" s="309"/>
      <c r="K42" s="309"/>
      <c r="L42" s="309"/>
      <c r="M42" s="309"/>
      <c r="N42" s="309"/>
      <c r="O42" s="309"/>
      <c r="P42" s="309"/>
      <c r="Q42" s="309"/>
      <c r="R42" s="310"/>
      <c r="S42" s="310"/>
      <c r="T42" s="310"/>
      <c r="U42" s="310"/>
    </row>
    <row r="43" spans="1:21" s="311" customFormat="1" ht="30" customHeight="1">
      <c r="A43" s="930" t="s">
        <v>487</v>
      </c>
      <c r="B43" s="931"/>
      <c r="C43" s="932" t="s">
        <v>488</v>
      </c>
      <c r="D43" s="933">
        <v>0</v>
      </c>
      <c r="E43" s="933">
        <v>0</v>
      </c>
      <c r="F43" s="934">
        <f t="shared" si="0"/>
        <v>0</v>
      </c>
      <c r="G43" s="308"/>
      <c r="H43" s="309"/>
      <c r="I43" s="309"/>
      <c r="J43" s="309"/>
      <c r="K43" s="309"/>
      <c r="L43" s="309"/>
      <c r="M43" s="309"/>
      <c r="N43" s="309"/>
      <c r="O43" s="309"/>
      <c r="P43" s="309"/>
      <c r="Q43" s="309"/>
      <c r="R43" s="310"/>
      <c r="S43" s="310"/>
      <c r="T43" s="310"/>
      <c r="U43" s="310"/>
    </row>
    <row r="44" spans="1:21" s="311" customFormat="1" ht="30" customHeight="1">
      <c r="A44" s="930" t="s">
        <v>489</v>
      </c>
      <c r="B44" s="931"/>
      <c r="C44" s="932" t="s">
        <v>490</v>
      </c>
      <c r="D44" s="933">
        <v>0</v>
      </c>
      <c r="E44" s="933">
        <v>0</v>
      </c>
      <c r="F44" s="934">
        <f t="shared" si="0"/>
        <v>0</v>
      </c>
      <c r="G44" s="308"/>
      <c r="H44" s="309"/>
      <c r="I44" s="309"/>
      <c r="J44" s="309"/>
      <c r="K44" s="309"/>
      <c r="L44" s="309"/>
      <c r="M44" s="309"/>
      <c r="N44" s="309"/>
      <c r="O44" s="309"/>
      <c r="P44" s="309"/>
      <c r="Q44" s="309"/>
      <c r="R44" s="310"/>
      <c r="S44" s="310"/>
      <c r="T44" s="310"/>
      <c r="U44" s="310"/>
    </row>
    <row r="45" spans="1:21" s="311" customFormat="1" ht="30" customHeight="1">
      <c r="A45" s="930" t="s">
        <v>491</v>
      </c>
      <c r="B45" s="931"/>
      <c r="C45" s="932" t="s">
        <v>492</v>
      </c>
      <c r="D45" s="933">
        <v>0</v>
      </c>
      <c r="E45" s="933">
        <v>0</v>
      </c>
      <c r="F45" s="934">
        <f t="shared" si="0"/>
        <v>0</v>
      </c>
      <c r="G45" s="308"/>
      <c r="H45" s="309"/>
      <c r="I45" s="309"/>
      <c r="J45" s="309"/>
      <c r="K45" s="309"/>
      <c r="L45" s="309"/>
      <c r="M45" s="309"/>
      <c r="N45" s="309"/>
      <c r="O45" s="309"/>
      <c r="P45" s="309"/>
      <c r="Q45" s="309"/>
      <c r="R45" s="310"/>
      <c r="S45" s="310"/>
      <c r="T45" s="310"/>
      <c r="U45" s="310"/>
    </row>
    <row r="46" spans="1:21" s="311" customFormat="1" ht="30" customHeight="1">
      <c r="A46" s="930" t="s">
        <v>493</v>
      </c>
      <c r="B46" s="931"/>
      <c r="C46" s="932" t="s">
        <v>494</v>
      </c>
      <c r="D46" s="933">
        <v>0</v>
      </c>
      <c r="E46" s="933">
        <v>0</v>
      </c>
      <c r="F46" s="934">
        <f t="shared" si="0"/>
        <v>0</v>
      </c>
      <c r="G46" s="308"/>
      <c r="H46" s="309"/>
      <c r="I46" s="309"/>
      <c r="J46" s="309"/>
      <c r="K46" s="309"/>
      <c r="L46" s="309"/>
      <c r="M46" s="309"/>
      <c r="N46" s="309"/>
      <c r="O46" s="309"/>
      <c r="P46" s="309"/>
      <c r="Q46" s="309"/>
      <c r="R46" s="310"/>
      <c r="S46" s="310"/>
      <c r="T46" s="310"/>
      <c r="U46" s="310"/>
    </row>
    <row r="47" spans="1:21" s="311" customFormat="1" ht="30" customHeight="1">
      <c r="A47" s="930" t="s">
        <v>495</v>
      </c>
      <c r="B47" s="931"/>
      <c r="C47" s="932" t="s">
        <v>496</v>
      </c>
      <c r="D47" s="933">
        <v>0</v>
      </c>
      <c r="E47" s="933">
        <v>0</v>
      </c>
      <c r="F47" s="934">
        <f t="shared" si="0"/>
        <v>0</v>
      </c>
      <c r="G47" s="308"/>
      <c r="H47" s="309"/>
      <c r="I47" s="309"/>
      <c r="J47" s="309"/>
      <c r="K47" s="309"/>
      <c r="L47" s="309"/>
      <c r="M47" s="309"/>
      <c r="N47" s="309"/>
      <c r="O47" s="309"/>
      <c r="P47" s="309"/>
      <c r="Q47" s="309"/>
      <c r="R47" s="310"/>
      <c r="S47" s="310"/>
      <c r="T47" s="310"/>
      <c r="U47" s="310"/>
    </row>
    <row r="48" spans="1:21" s="311" customFormat="1" ht="30" customHeight="1">
      <c r="A48" s="930" t="s">
        <v>497</v>
      </c>
      <c r="B48" s="931"/>
      <c r="C48" s="932" t="s">
        <v>498</v>
      </c>
      <c r="D48" s="933">
        <v>105712</v>
      </c>
      <c r="E48" s="933">
        <v>0</v>
      </c>
      <c r="F48" s="934">
        <f t="shared" si="0"/>
        <v>105712</v>
      </c>
      <c r="G48" s="308"/>
      <c r="H48" s="309"/>
      <c r="I48" s="309"/>
      <c r="J48" s="309"/>
      <c r="K48" s="309"/>
      <c r="L48" s="309"/>
      <c r="M48" s="309"/>
      <c r="N48" s="309"/>
      <c r="O48" s="309"/>
      <c r="P48" s="309"/>
      <c r="Q48" s="309"/>
      <c r="R48" s="310"/>
      <c r="S48" s="310"/>
      <c r="T48" s="310"/>
      <c r="U48" s="310"/>
    </row>
    <row r="49" spans="1:21" s="311" customFormat="1" ht="30" customHeight="1">
      <c r="A49" s="930" t="s">
        <v>499</v>
      </c>
      <c r="B49" s="931"/>
      <c r="C49" s="932" t="s">
        <v>500</v>
      </c>
      <c r="D49" s="933">
        <v>139778</v>
      </c>
      <c r="E49" s="933">
        <v>0</v>
      </c>
      <c r="F49" s="934">
        <f t="shared" si="0"/>
        <v>139778</v>
      </c>
      <c r="G49" s="308"/>
      <c r="H49" s="309"/>
      <c r="I49" s="309"/>
      <c r="J49" s="309"/>
      <c r="K49" s="309"/>
      <c r="L49" s="309"/>
      <c r="M49" s="309"/>
      <c r="N49" s="309"/>
      <c r="O49" s="309"/>
      <c r="P49" s="309"/>
      <c r="Q49" s="309"/>
      <c r="R49" s="310"/>
      <c r="S49" s="310"/>
      <c r="T49" s="310"/>
      <c r="U49" s="310"/>
    </row>
    <row r="50" spans="1:21" s="311" customFormat="1" ht="30" customHeight="1">
      <c r="A50" s="930" t="s">
        <v>501</v>
      </c>
      <c r="B50" s="931"/>
      <c r="C50" s="932" t="s">
        <v>502</v>
      </c>
      <c r="D50" s="933">
        <v>0</v>
      </c>
      <c r="E50" s="933">
        <v>0</v>
      </c>
      <c r="F50" s="934">
        <f t="shared" si="0"/>
        <v>0</v>
      </c>
      <c r="G50" s="308"/>
      <c r="H50" s="309"/>
      <c r="I50" s="309"/>
      <c r="J50" s="309"/>
      <c r="K50" s="309"/>
      <c r="L50" s="309"/>
      <c r="M50" s="309"/>
      <c r="N50" s="309"/>
      <c r="O50" s="309"/>
      <c r="P50" s="309"/>
      <c r="Q50" s="309"/>
      <c r="R50" s="310"/>
      <c r="S50" s="310"/>
      <c r="T50" s="310"/>
      <c r="U50" s="310"/>
    </row>
    <row r="51" spans="1:21" s="311" customFormat="1" ht="30" customHeight="1">
      <c r="A51" s="930" t="s">
        <v>503</v>
      </c>
      <c r="B51" s="931"/>
      <c r="C51" s="932" t="s">
        <v>504</v>
      </c>
      <c r="D51" s="933">
        <v>0</v>
      </c>
      <c r="E51" s="933">
        <v>0</v>
      </c>
      <c r="F51" s="934">
        <f t="shared" si="0"/>
        <v>0</v>
      </c>
      <c r="G51" s="308"/>
      <c r="H51" s="309"/>
      <c r="I51" s="309"/>
      <c r="J51" s="309"/>
      <c r="K51" s="309"/>
      <c r="L51" s="309"/>
      <c r="M51" s="309"/>
      <c r="N51" s="309"/>
      <c r="O51" s="309"/>
      <c r="P51" s="309"/>
      <c r="Q51" s="309"/>
      <c r="R51" s="310"/>
      <c r="S51" s="310"/>
      <c r="T51" s="310"/>
      <c r="U51" s="310"/>
    </row>
    <row r="52" spans="1:21" s="311" customFormat="1" ht="30" customHeight="1">
      <c r="A52" s="930" t="s">
        <v>505</v>
      </c>
      <c r="B52" s="931"/>
      <c r="C52" s="932" t="s">
        <v>506</v>
      </c>
      <c r="D52" s="933">
        <v>0</v>
      </c>
      <c r="E52" s="933">
        <v>0</v>
      </c>
      <c r="F52" s="934">
        <f t="shared" si="0"/>
        <v>0</v>
      </c>
      <c r="G52" s="308"/>
      <c r="H52" s="309"/>
      <c r="I52" s="309"/>
      <c r="J52" s="309"/>
      <c r="K52" s="309"/>
      <c r="L52" s="309"/>
      <c r="M52" s="309"/>
      <c r="N52" s="309"/>
      <c r="O52" s="309"/>
      <c r="P52" s="309"/>
      <c r="Q52" s="309"/>
      <c r="R52" s="310"/>
      <c r="S52" s="310"/>
      <c r="T52" s="310"/>
      <c r="U52" s="310"/>
    </row>
    <row r="53" spans="1:21" s="311" customFormat="1" ht="30" customHeight="1">
      <c r="A53" s="930" t="s">
        <v>650</v>
      </c>
      <c r="B53" s="931"/>
      <c r="C53" s="932" t="s">
        <v>651</v>
      </c>
      <c r="D53" s="933">
        <v>0</v>
      </c>
      <c r="E53" s="933">
        <v>0</v>
      </c>
      <c r="F53" s="934">
        <f>+D53+E53</f>
        <v>0</v>
      </c>
      <c r="G53" s="308"/>
      <c r="H53" s="309"/>
      <c r="I53" s="309"/>
      <c r="J53" s="309"/>
      <c r="K53" s="309"/>
      <c r="L53" s="309"/>
      <c r="M53" s="309"/>
      <c r="N53" s="309"/>
      <c r="O53" s="309"/>
      <c r="P53" s="309"/>
      <c r="Q53" s="309"/>
      <c r="R53" s="310"/>
      <c r="S53" s="310"/>
      <c r="T53" s="310"/>
      <c r="U53" s="310"/>
    </row>
    <row r="54" spans="1:21" s="311" customFormat="1" ht="30" customHeight="1">
      <c r="A54" s="930" t="s">
        <v>508</v>
      </c>
      <c r="B54" s="931"/>
      <c r="C54" s="932" t="s">
        <v>509</v>
      </c>
      <c r="D54" s="933">
        <v>127136</v>
      </c>
      <c r="E54" s="933">
        <v>0</v>
      </c>
      <c r="F54" s="934">
        <f t="shared" si="0"/>
        <v>127136</v>
      </c>
      <c r="G54" s="308"/>
      <c r="H54" s="309"/>
      <c r="I54" s="309"/>
      <c r="J54" s="309"/>
      <c r="K54" s="309"/>
      <c r="L54" s="309"/>
      <c r="M54" s="309"/>
      <c r="N54" s="309"/>
      <c r="O54" s="309"/>
      <c r="P54" s="309"/>
      <c r="Q54" s="309"/>
      <c r="R54" s="310"/>
      <c r="S54" s="310"/>
      <c r="T54" s="310"/>
      <c r="U54" s="310"/>
    </row>
    <row r="55" spans="1:21" s="311" customFormat="1" ht="30" customHeight="1">
      <c r="A55" s="930" t="s">
        <v>510</v>
      </c>
      <c r="B55" s="931"/>
      <c r="C55" s="932" t="s">
        <v>511</v>
      </c>
      <c r="D55" s="933">
        <v>0</v>
      </c>
      <c r="E55" s="933">
        <v>0</v>
      </c>
      <c r="F55" s="934">
        <f t="shared" si="0"/>
        <v>0</v>
      </c>
      <c r="G55" s="308"/>
      <c r="H55" s="309"/>
      <c r="I55" s="309"/>
      <c r="J55" s="309"/>
      <c r="K55" s="309"/>
      <c r="L55" s="309"/>
      <c r="M55" s="309"/>
      <c r="N55" s="309"/>
      <c r="O55" s="309"/>
      <c r="P55" s="309"/>
      <c r="Q55" s="309"/>
      <c r="R55" s="310"/>
      <c r="S55" s="310"/>
      <c r="T55" s="310"/>
      <c r="U55" s="310"/>
    </row>
    <row r="56" spans="1:21" s="311" customFormat="1" ht="30" customHeight="1" thickBot="1">
      <c r="A56" s="935" t="s">
        <v>512</v>
      </c>
      <c r="B56" s="936"/>
      <c r="C56" s="937" t="s">
        <v>513</v>
      </c>
      <c r="D56" s="933">
        <v>0</v>
      </c>
      <c r="E56" s="938">
        <v>0</v>
      </c>
      <c r="F56" s="939">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514</v>
      </c>
      <c r="B57" s="344"/>
      <c r="C57" s="704"/>
      <c r="D57" s="349">
        <f>SUM(D10:D56)</f>
        <v>2793492</v>
      </c>
      <c r="E57" s="349">
        <f>SUM(E10:E56)</f>
        <v>0</v>
      </c>
      <c r="F57" s="349">
        <f t="shared" si="0"/>
        <v>2793492</v>
      </c>
      <c r="G57" s="303"/>
      <c r="H57" s="304"/>
      <c r="I57" s="304"/>
      <c r="J57" s="304"/>
      <c r="K57" s="304"/>
      <c r="L57" s="304"/>
      <c r="M57" s="304"/>
      <c r="N57" s="304"/>
      <c r="O57" s="304"/>
      <c r="P57" s="304"/>
      <c r="Q57" s="304"/>
      <c r="R57" s="305"/>
      <c r="S57" s="305"/>
      <c r="T57" s="305"/>
      <c r="U57" s="305"/>
    </row>
    <row r="58" spans="1:21" s="311" customFormat="1" ht="30" customHeight="1">
      <c r="A58" s="313"/>
      <c r="B58" s="314"/>
      <c r="C58" s="705"/>
      <c r="D58" s="706"/>
      <c r="E58" s="706"/>
      <c r="F58" s="706"/>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87" t="str">
        <f>C7</f>
        <v>2021-22</v>
      </c>
      <c r="D61" s="1088"/>
      <c r="E61" s="1088"/>
      <c r="F61" s="1089"/>
      <c r="G61" s="308"/>
      <c r="H61" s="309"/>
      <c r="I61" s="309"/>
      <c r="J61" s="309"/>
      <c r="K61" s="309"/>
      <c r="L61" s="309"/>
      <c r="M61" s="309"/>
      <c r="N61" s="309"/>
      <c r="O61" s="309"/>
      <c r="P61" s="309"/>
      <c r="Q61" s="309"/>
      <c r="R61" s="310"/>
      <c r="S61" s="310"/>
      <c r="T61" s="310"/>
      <c r="U61" s="310"/>
    </row>
    <row r="62" spans="1:21" s="311" customFormat="1" ht="111.6" customHeight="1" thickBot="1">
      <c r="A62" s="1222" t="s">
        <v>646</v>
      </c>
      <c r="B62" s="1223"/>
      <c r="C62" s="295" t="s">
        <v>284</v>
      </c>
      <c r="D62" s="296" t="s">
        <v>647</v>
      </c>
      <c r="E62" s="702" t="s">
        <v>648</v>
      </c>
      <c r="F62" s="297" t="s">
        <v>649</v>
      </c>
      <c r="G62" s="308"/>
      <c r="H62" s="309"/>
      <c r="I62" s="309"/>
      <c r="J62" s="309"/>
      <c r="K62" s="309"/>
      <c r="L62" s="309"/>
      <c r="M62" s="309"/>
      <c r="N62" s="309"/>
      <c r="O62" s="309"/>
      <c r="P62" s="309"/>
      <c r="Q62" s="309"/>
      <c r="R62" s="310"/>
      <c r="S62" s="310"/>
      <c r="T62" s="310"/>
      <c r="U62" s="310"/>
    </row>
    <row r="63" spans="1:21" s="311" customFormat="1" ht="30" customHeight="1" thickBot="1">
      <c r="A63" s="1091" t="s">
        <v>169</v>
      </c>
      <c r="B63" s="109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516</v>
      </c>
      <c r="B64" s="319"/>
      <c r="C64" s="320" t="s">
        <v>517</v>
      </c>
      <c r="D64" s="582">
        <v>316</v>
      </c>
      <c r="E64" s="582">
        <v>0</v>
      </c>
      <c r="F64" s="307">
        <f t="shared" si="0"/>
        <v>316</v>
      </c>
      <c r="G64" s="308"/>
      <c r="H64" s="309"/>
      <c r="I64" s="309"/>
      <c r="J64" s="309"/>
      <c r="K64" s="309"/>
      <c r="L64" s="309"/>
      <c r="M64" s="309"/>
      <c r="N64" s="309"/>
      <c r="O64" s="309"/>
      <c r="P64" s="309"/>
      <c r="Q64" s="309"/>
      <c r="R64" s="310"/>
      <c r="S64" s="310"/>
      <c r="T64" s="310"/>
      <c r="U64" s="310"/>
    </row>
    <row r="65" spans="1:21" s="311" customFormat="1" ht="30" customHeight="1">
      <c r="A65" s="930" t="s">
        <v>518</v>
      </c>
      <c r="B65" s="931"/>
      <c r="C65" s="940" t="s">
        <v>519</v>
      </c>
      <c r="D65" s="933">
        <v>0</v>
      </c>
      <c r="E65" s="933">
        <v>0</v>
      </c>
      <c r="F65" s="934">
        <f t="shared" si="0"/>
        <v>0</v>
      </c>
      <c r="G65" s="308"/>
      <c r="H65" s="309"/>
      <c r="I65" s="309"/>
      <c r="J65" s="309"/>
      <c r="K65" s="309"/>
      <c r="L65" s="309"/>
      <c r="M65" s="309"/>
      <c r="N65" s="309"/>
      <c r="O65" s="309"/>
      <c r="P65" s="309"/>
      <c r="Q65" s="309"/>
      <c r="R65" s="310"/>
      <c r="S65" s="310"/>
      <c r="T65" s="310"/>
      <c r="U65" s="310"/>
    </row>
    <row r="66" spans="1:21" s="311" customFormat="1" ht="30" customHeight="1">
      <c r="A66" s="930" t="s">
        <v>520</v>
      </c>
      <c r="B66" s="931"/>
      <c r="C66" s="940" t="s">
        <v>521</v>
      </c>
      <c r="D66" s="933">
        <v>0</v>
      </c>
      <c r="E66" s="933">
        <v>0</v>
      </c>
      <c r="F66" s="934">
        <f t="shared" si="0"/>
        <v>0</v>
      </c>
      <c r="G66" s="308"/>
      <c r="H66" s="309"/>
      <c r="I66" s="309"/>
      <c r="J66" s="309"/>
      <c r="K66" s="309"/>
      <c r="L66" s="309"/>
      <c r="M66" s="309"/>
      <c r="N66" s="309"/>
      <c r="O66" s="309"/>
      <c r="P66" s="309"/>
      <c r="Q66" s="309"/>
      <c r="R66" s="310"/>
      <c r="S66" s="310"/>
      <c r="T66" s="310"/>
      <c r="U66" s="310"/>
    </row>
    <row r="67" spans="1:21" s="311" customFormat="1" ht="30" customHeight="1">
      <c r="A67" s="930" t="s">
        <v>522</v>
      </c>
      <c r="B67" s="931"/>
      <c r="C67" s="940" t="s">
        <v>523</v>
      </c>
      <c r="D67" s="933">
        <v>3318</v>
      </c>
      <c r="E67" s="933">
        <v>0</v>
      </c>
      <c r="F67" s="934">
        <f t="shared" si="0"/>
        <v>3318</v>
      </c>
      <c r="G67" s="308"/>
      <c r="H67" s="309"/>
      <c r="I67" s="309"/>
      <c r="J67" s="309"/>
      <c r="K67" s="309"/>
      <c r="L67" s="309"/>
      <c r="M67" s="309"/>
      <c r="N67" s="309"/>
      <c r="O67" s="309"/>
      <c r="P67" s="309"/>
      <c r="Q67" s="309"/>
      <c r="R67" s="310"/>
      <c r="S67" s="310"/>
      <c r="T67" s="310"/>
      <c r="U67" s="310"/>
    </row>
    <row r="68" spans="1:21" s="311" customFormat="1" ht="30" customHeight="1">
      <c r="A68" s="930" t="s">
        <v>652</v>
      </c>
      <c r="B68" s="931"/>
      <c r="C68" s="940" t="s">
        <v>525</v>
      </c>
      <c r="D68" s="933">
        <v>0</v>
      </c>
      <c r="E68" s="933">
        <v>0</v>
      </c>
      <c r="F68" s="934">
        <f t="shared" si="0"/>
        <v>0</v>
      </c>
      <c r="G68" s="308"/>
      <c r="H68" s="309"/>
      <c r="I68" s="309"/>
      <c r="J68" s="309"/>
      <c r="K68" s="309"/>
      <c r="L68" s="309"/>
      <c r="M68" s="309"/>
      <c r="N68" s="309"/>
      <c r="O68" s="309"/>
      <c r="P68" s="309"/>
      <c r="Q68" s="309"/>
      <c r="R68" s="310"/>
      <c r="S68" s="310"/>
      <c r="T68" s="310"/>
      <c r="U68" s="310"/>
    </row>
    <row r="69" spans="1:21" s="311" customFormat="1" ht="30" customHeight="1">
      <c r="A69" s="930" t="s">
        <v>526</v>
      </c>
      <c r="B69" s="931"/>
      <c r="C69" s="940" t="s">
        <v>527</v>
      </c>
      <c r="D69" s="933">
        <v>0</v>
      </c>
      <c r="E69" s="933">
        <v>0</v>
      </c>
      <c r="F69" s="934">
        <f t="shared" si="0"/>
        <v>0</v>
      </c>
      <c r="G69" s="308"/>
      <c r="H69" s="309"/>
      <c r="I69" s="309"/>
      <c r="J69" s="309"/>
      <c r="K69" s="309"/>
      <c r="L69" s="309"/>
      <c r="M69" s="309"/>
      <c r="N69" s="309"/>
      <c r="O69" s="309"/>
      <c r="P69" s="309"/>
      <c r="Q69" s="309"/>
      <c r="R69" s="310"/>
      <c r="S69" s="310"/>
      <c r="T69" s="310"/>
      <c r="U69" s="310"/>
    </row>
    <row r="70" spans="1:21" s="311" customFormat="1" ht="30" customHeight="1">
      <c r="A70" s="930" t="s">
        <v>528</v>
      </c>
      <c r="B70" s="931"/>
      <c r="C70" s="940" t="s">
        <v>529</v>
      </c>
      <c r="D70" s="933">
        <v>0</v>
      </c>
      <c r="E70" s="933">
        <v>0</v>
      </c>
      <c r="F70" s="934">
        <f t="shared" si="0"/>
        <v>0</v>
      </c>
      <c r="G70" s="308"/>
      <c r="H70" s="309"/>
      <c r="I70" s="309"/>
      <c r="J70" s="309"/>
      <c r="K70" s="309"/>
      <c r="L70" s="309"/>
      <c r="M70" s="309"/>
      <c r="N70" s="309"/>
      <c r="O70" s="309"/>
      <c r="P70" s="309"/>
      <c r="Q70" s="309"/>
      <c r="R70" s="310"/>
      <c r="S70" s="310"/>
      <c r="T70" s="310"/>
      <c r="U70" s="310"/>
    </row>
    <row r="71" spans="1:21" s="311" customFormat="1" ht="30" customHeight="1">
      <c r="A71" s="930" t="s">
        <v>530</v>
      </c>
      <c r="B71" s="931"/>
      <c r="C71" s="940" t="s">
        <v>531</v>
      </c>
      <c r="D71" s="933">
        <v>0</v>
      </c>
      <c r="E71" s="933">
        <v>0</v>
      </c>
      <c r="F71" s="934">
        <f t="shared" si="0"/>
        <v>0</v>
      </c>
      <c r="G71" s="308"/>
      <c r="H71" s="309"/>
      <c r="I71" s="309"/>
      <c r="J71" s="309"/>
      <c r="K71" s="309"/>
      <c r="L71" s="309"/>
      <c r="M71" s="309"/>
      <c r="N71" s="309"/>
      <c r="O71" s="309"/>
      <c r="P71" s="309"/>
      <c r="Q71" s="309"/>
      <c r="R71" s="310"/>
      <c r="S71" s="310"/>
      <c r="T71" s="310"/>
      <c r="U71" s="310"/>
    </row>
    <row r="72" spans="1:21" s="311" customFormat="1" ht="30" customHeight="1">
      <c r="A72" s="930" t="s">
        <v>532</v>
      </c>
      <c r="B72" s="931"/>
      <c r="C72" s="940" t="s">
        <v>533</v>
      </c>
      <c r="D72" s="933">
        <v>300000</v>
      </c>
      <c r="E72" s="933">
        <v>0</v>
      </c>
      <c r="F72" s="934">
        <f t="shared" si="0"/>
        <v>300000</v>
      </c>
      <c r="G72" s="308"/>
      <c r="H72" s="309"/>
      <c r="I72" s="309"/>
      <c r="J72" s="309"/>
      <c r="K72" s="309"/>
      <c r="L72" s="309"/>
      <c r="M72" s="309"/>
      <c r="N72" s="309"/>
      <c r="O72" s="309"/>
      <c r="P72" s="309"/>
      <c r="Q72" s="309"/>
      <c r="R72" s="310"/>
      <c r="S72" s="310"/>
      <c r="T72" s="310"/>
      <c r="U72" s="310"/>
    </row>
    <row r="73" spans="1:21" s="311" customFormat="1" ht="30" customHeight="1">
      <c r="A73" s="930" t="s">
        <v>534</v>
      </c>
      <c r="B73" s="931"/>
      <c r="C73" s="940" t="s">
        <v>535</v>
      </c>
      <c r="D73" s="933">
        <v>0</v>
      </c>
      <c r="E73" s="933">
        <v>0</v>
      </c>
      <c r="F73" s="934">
        <f t="shared" si="0"/>
        <v>0</v>
      </c>
      <c r="G73" s="308"/>
      <c r="H73" s="309"/>
      <c r="I73" s="309"/>
      <c r="J73" s="309"/>
      <c r="K73" s="309"/>
      <c r="L73" s="309"/>
      <c r="M73" s="309"/>
      <c r="N73" s="309"/>
      <c r="O73" s="309"/>
      <c r="P73" s="309"/>
      <c r="Q73" s="309"/>
      <c r="R73" s="310"/>
      <c r="S73" s="310"/>
      <c r="T73" s="310"/>
      <c r="U73" s="310"/>
    </row>
    <row r="74" spans="1:21" s="311" customFormat="1" ht="30" customHeight="1">
      <c r="A74" s="930" t="s">
        <v>536</v>
      </c>
      <c r="B74" s="931"/>
      <c r="C74" s="940" t="s">
        <v>537</v>
      </c>
      <c r="D74" s="933">
        <v>0</v>
      </c>
      <c r="E74" s="933">
        <v>0</v>
      </c>
      <c r="F74" s="934">
        <f t="shared" si="0"/>
        <v>0</v>
      </c>
      <c r="G74" s="308"/>
      <c r="H74" s="309"/>
      <c r="I74" s="309"/>
      <c r="J74" s="309"/>
      <c r="K74" s="309"/>
      <c r="L74" s="309"/>
      <c r="M74" s="309"/>
      <c r="N74" s="309"/>
      <c r="O74" s="309"/>
      <c r="P74" s="309"/>
      <c r="Q74" s="309"/>
      <c r="R74" s="310"/>
      <c r="S74" s="310"/>
      <c r="T74" s="310"/>
      <c r="U74" s="310"/>
    </row>
    <row r="75" spans="1:21" s="311" customFormat="1" ht="30" customHeight="1">
      <c r="A75" s="930" t="s">
        <v>538</v>
      </c>
      <c r="B75" s="931"/>
      <c r="C75" s="940" t="s">
        <v>539</v>
      </c>
      <c r="D75" s="933">
        <v>0</v>
      </c>
      <c r="E75" s="933">
        <v>0</v>
      </c>
      <c r="F75" s="934">
        <f t="shared" si="0"/>
        <v>0</v>
      </c>
      <c r="G75" s="308"/>
      <c r="H75" s="309"/>
      <c r="I75" s="309"/>
      <c r="J75" s="309"/>
      <c r="K75" s="309"/>
      <c r="L75" s="309"/>
      <c r="M75" s="309"/>
      <c r="N75" s="309"/>
      <c r="O75" s="309"/>
      <c r="P75" s="309"/>
      <c r="Q75" s="309"/>
      <c r="R75" s="310"/>
      <c r="S75" s="310"/>
      <c r="T75" s="310"/>
      <c r="U75" s="310"/>
    </row>
    <row r="76" spans="1:21" s="311" customFormat="1" ht="30" customHeight="1">
      <c r="A76" s="930" t="s">
        <v>540</v>
      </c>
      <c r="B76" s="931"/>
      <c r="C76" s="940" t="s">
        <v>541</v>
      </c>
      <c r="D76" s="933">
        <v>0</v>
      </c>
      <c r="E76" s="933">
        <v>0</v>
      </c>
      <c r="F76" s="934">
        <f t="shared" si="0"/>
        <v>0</v>
      </c>
      <c r="G76" s="308"/>
      <c r="H76" s="309"/>
      <c r="I76" s="309"/>
      <c r="J76" s="309"/>
      <c r="K76" s="309"/>
      <c r="L76" s="309"/>
      <c r="M76" s="309"/>
      <c r="N76" s="309"/>
      <c r="O76" s="309"/>
      <c r="P76" s="309"/>
      <c r="Q76" s="309"/>
      <c r="R76" s="310"/>
      <c r="S76" s="310"/>
      <c r="T76" s="310"/>
      <c r="U76" s="310"/>
    </row>
    <row r="77" spans="1:21" s="311" customFormat="1" ht="30" customHeight="1">
      <c r="A77" s="930" t="s">
        <v>542</v>
      </c>
      <c r="B77" s="931"/>
      <c r="C77" s="940" t="s">
        <v>543</v>
      </c>
      <c r="D77" s="933">
        <v>0</v>
      </c>
      <c r="E77" s="933">
        <v>0</v>
      </c>
      <c r="F77" s="934">
        <f t="shared" si="0"/>
        <v>0</v>
      </c>
      <c r="G77" s="308"/>
      <c r="H77" s="309"/>
      <c r="I77" s="309"/>
      <c r="J77" s="309"/>
      <c r="K77" s="309"/>
      <c r="L77" s="309"/>
      <c r="M77" s="309"/>
      <c r="N77" s="309"/>
      <c r="O77" s="309"/>
      <c r="P77" s="309"/>
      <c r="Q77" s="309"/>
      <c r="R77" s="310"/>
      <c r="S77" s="310"/>
      <c r="T77" s="310"/>
      <c r="U77" s="310"/>
    </row>
    <row r="78" spans="1:21" s="311" customFormat="1" ht="30" customHeight="1">
      <c r="A78" s="930" t="s">
        <v>544</v>
      </c>
      <c r="B78" s="931"/>
      <c r="C78" s="940">
        <v>64007</v>
      </c>
      <c r="D78" s="933">
        <v>0</v>
      </c>
      <c r="E78" s="933">
        <v>0</v>
      </c>
      <c r="F78" s="934">
        <f t="shared" si="0"/>
        <v>0</v>
      </c>
      <c r="G78" s="308"/>
      <c r="H78" s="309"/>
      <c r="I78" s="309"/>
      <c r="J78" s="309"/>
      <c r="K78" s="309"/>
      <c r="L78" s="309"/>
      <c r="M78" s="309"/>
      <c r="N78" s="309"/>
      <c r="O78" s="309"/>
      <c r="P78" s="309"/>
      <c r="Q78" s="309"/>
      <c r="R78" s="310"/>
      <c r="S78" s="310"/>
      <c r="T78" s="310"/>
      <c r="U78" s="310"/>
    </row>
    <row r="79" spans="1:21" s="311" customFormat="1" ht="30" customHeight="1">
      <c r="A79" s="930" t="s">
        <v>545</v>
      </c>
      <c r="B79" s="931"/>
      <c r="C79" s="940" t="s">
        <v>546</v>
      </c>
      <c r="D79" s="933">
        <v>804678</v>
      </c>
      <c r="E79" s="933">
        <v>0</v>
      </c>
      <c r="F79" s="934">
        <f t="shared" si="0"/>
        <v>804678</v>
      </c>
      <c r="G79" s="308"/>
      <c r="H79" s="309"/>
      <c r="I79" s="309"/>
      <c r="J79" s="309"/>
      <c r="K79" s="309"/>
      <c r="L79" s="309"/>
      <c r="M79" s="309"/>
      <c r="N79" s="309"/>
      <c r="O79" s="309"/>
      <c r="P79" s="309"/>
      <c r="Q79" s="309"/>
      <c r="R79" s="310"/>
      <c r="S79" s="310"/>
      <c r="T79" s="310"/>
      <c r="U79" s="310"/>
    </row>
    <row r="80" spans="1:21" s="311" customFormat="1" ht="30" customHeight="1">
      <c r="A80" s="930" t="s">
        <v>737</v>
      </c>
      <c r="B80" s="931"/>
      <c r="C80" s="940" t="s">
        <v>547</v>
      </c>
      <c r="D80" s="933">
        <v>0</v>
      </c>
      <c r="E80" s="933">
        <v>0</v>
      </c>
      <c r="F80" s="934">
        <f t="shared" si="0"/>
        <v>0</v>
      </c>
      <c r="G80" s="308"/>
      <c r="H80" s="309"/>
      <c r="I80" s="309"/>
      <c r="J80" s="309"/>
      <c r="K80" s="309"/>
      <c r="L80" s="309"/>
      <c r="M80" s="309"/>
      <c r="N80" s="309"/>
      <c r="O80" s="309"/>
      <c r="P80" s="309"/>
      <c r="Q80" s="309"/>
      <c r="R80" s="310"/>
      <c r="S80" s="310"/>
      <c r="T80" s="310"/>
      <c r="U80" s="310"/>
    </row>
    <row r="81" spans="1:21" s="311" customFormat="1" ht="30" customHeight="1">
      <c r="A81" s="930" t="s">
        <v>548</v>
      </c>
      <c r="B81" s="931"/>
      <c r="C81" s="940" t="s">
        <v>549</v>
      </c>
      <c r="D81" s="933">
        <v>0</v>
      </c>
      <c r="E81" s="933">
        <v>0</v>
      </c>
      <c r="F81" s="934">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0" t="s">
        <v>550</v>
      </c>
      <c r="B82" s="931"/>
      <c r="C82" s="940" t="s">
        <v>551</v>
      </c>
      <c r="D82" s="933">
        <v>0</v>
      </c>
      <c r="E82" s="933">
        <v>0</v>
      </c>
      <c r="F82" s="934">
        <f t="shared" si="1"/>
        <v>0</v>
      </c>
      <c r="G82" s="308"/>
      <c r="H82" s="309"/>
      <c r="I82" s="309"/>
      <c r="J82" s="309"/>
      <c r="K82" s="309"/>
      <c r="L82" s="309"/>
      <c r="M82" s="309"/>
      <c r="N82" s="309"/>
      <c r="O82" s="309"/>
      <c r="P82" s="309"/>
      <c r="Q82" s="309"/>
      <c r="R82" s="310"/>
      <c r="S82" s="310"/>
      <c r="T82" s="310"/>
      <c r="U82" s="310"/>
    </row>
    <row r="83" spans="1:21" s="311" customFormat="1" ht="30" customHeight="1">
      <c r="A83" s="930" t="s">
        <v>552</v>
      </c>
      <c r="B83" s="931"/>
      <c r="C83" s="940" t="s">
        <v>553</v>
      </c>
      <c r="D83" s="933">
        <v>204147</v>
      </c>
      <c r="E83" s="933">
        <v>0</v>
      </c>
      <c r="F83" s="934">
        <f t="shared" si="1"/>
        <v>204147</v>
      </c>
      <c r="G83" s="308"/>
      <c r="H83" s="309"/>
      <c r="I83" s="309"/>
      <c r="J83" s="309"/>
      <c r="K83" s="309"/>
      <c r="L83" s="309"/>
      <c r="M83" s="309"/>
      <c r="N83" s="309"/>
      <c r="O83" s="309"/>
      <c r="P83" s="309"/>
      <c r="Q83" s="309"/>
      <c r="R83" s="310"/>
      <c r="S83" s="310"/>
      <c r="T83" s="310"/>
      <c r="U83" s="310"/>
    </row>
    <row r="84" spans="1:21" s="311" customFormat="1" ht="30" customHeight="1">
      <c r="A84" s="930" t="s">
        <v>554</v>
      </c>
      <c r="B84" s="931"/>
      <c r="C84" s="940" t="s">
        <v>555</v>
      </c>
      <c r="D84" s="933">
        <v>232</v>
      </c>
      <c r="E84" s="933">
        <v>0</v>
      </c>
      <c r="F84" s="934">
        <f t="shared" si="1"/>
        <v>232</v>
      </c>
      <c r="G84" s="308"/>
      <c r="H84" s="309"/>
      <c r="I84" s="309"/>
      <c r="J84" s="309"/>
      <c r="K84" s="309"/>
      <c r="L84" s="309"/>
      <c r="M84" s="309"/>
      <c r="N84" s="309"/>
      <c r="O84" s="309"/>
      <c r="P84" s="309"/>
      <c r="Q84" s="309"/>
      <c r="R84" s="310"/>
      <c r="S84" s="310"/>
      <c r="T84" s="310"/>
      <c r="U84" s="310"/>
    </row>
    <row r="85" spans="1:21" s="311" customFormat="1" ht="30" customHeight="1">
      <c r="A85" s="930" t="s">
        <v>556</v>
      </c>
      <c r="B85" s="931"/>
      <c r="C85" s="940" t="s">
        <v>557</v>
      </c>
      <c r="D85" s="933">
        <v>0</v>
      </c>
      <c r="E85" s="933">
        <v>0</v>
      </c>
      <c r="F85" s="934">
        <f t="shared" si="1"/>
        <v>0</v>
      </c>
      <c r="G85" s="308"/>
      <c r="H85" s="308"/>
      <c r="I85" s="308"/>
      <c r="J85" s="308"/>
      <c r="K85" s="308"/>
      <c r="L85" s="308"/>
      <c r="M85" s="308"/>
      <c r="N85" s="308"/>
      <c r="O85" s="308"/>
      <c r="P85" s="308"/>
      <c r="Q85" s="308"/>
    </row>
    <row r="86" spans="1:21" s="311" customFormat="1" ht="30" customHeight="1">
      <c r="A86" s="930" t="s">
        <v>558</v>
      </c>
      <c r="B86" s="931"/>
      <c r="C86" s="940" t="s">
        <v>559</v>
      </c>
      <c r="D86" s="933">
        <v>0</v>
      </c>
      <c r="E86" s="933">
        <v>0</v>
      </c>
      <c r="F86" s="934">
        <f t="shared" si="1"/>
        <v>0</v>
      </c>
      <c r="G86" s="308"/>
      <c r="H86" s="308"/>
      <c r="I86" s="308"/>
      <c r="J86" s="308"/>
      <c r="K86" s="308"/>
      <c r="L86" s="308"/>
      <c r="M86" s="308"/>
      <c r="N86" s="308"/>
      <c r="O86" s="308"/>
      <c r="P86" s="308"/>
      <c r="Q86" s="308"/>
    </row>
    <row r="87" spans="1:21" s="311" customFormat="1" ht="30" customHeight="1">
      <c r="A87" s="930" t="s">
        <v>560</v>
      </c>
      <c r="B87" s="931"/>
      <c r="C87" s="940" t="s">
        <v>561</v>
      </c>
      <c r="D87" s="933">
        <v>20519</v>
      </c>
      <c r="E87" s="933">
        <v>0</v>
      </c>
      <c r="F87" s="934">
        <f t="shared" ref="F87:F92" si="2">+D87+E87</f>
        <v>20519</v>
      </c>
      <c r="G87" s="308"/>
      <c r="H87" s="308"/>
      <c r="I87" s="308"/>
      <c r="J87" s="308"/>
      <c r="K87" s="308"/>
      <c r="L87" s="308"/>
      <c r="M87" s="308"/>
      <c r="N87" s="308"/>
      <c r="O87" s="308"/>
      <c r="P87" s="308"/>
      <c r="Q87" s="308"/>
    </row>
    <row r="88" spans="1:21" s="311" customFormat="1" ht="30" customHeight="1">
      <c r="A88" s="930" t="s">
        <v>562</v>
      </c>
      <c r="B88" s="931"/>
      <c r="C88" s="940" t="s">
        <v>563</v>
      </c>
      <c r="D88" s="933">
        <v>0</v>
      </c>
      <c r="E88" s="933">
        <v>0</v>
      </c>
      <c r="F88" s="934">
        <f t="shared" si="2"/>
        <v>0</v>
      </c>
      <c r="G88" s="308"/>
      <c r="H88" s="308"/>
      <c r="I88" s="308"/>
      <c r="J88" s="308"/>
      <c r="K88" s="308"/>
      <c r="L88" s="308"/>
      <c r="M88" s="308"/>
      <c r="N88" s="308"/>
      <c r="O88" s="308"/>
      <c r="P88" s="308"/>
      <c r="Q88" s="308"/>
    </row>
    <row r="89" spans="1:21" s="311" customFormat="1" ht="30" customHeight="1">
      <c r="A89" s="930" t="s">
        <v>564</v>
      </c>
      <c r="B89" s="931"/>
      <c r="C89" s="940" t="s">
        <v>565</v>
      </c>
      <c r="D89" s="933">
        <v>0</v>
      </c>
      <c r="E89" s="933">
        <v>0</v>
      </c>
      <c r="F89" s="934">
        <f t="shared" si="2"/>
        <v>0</v>
      </c>
      <c r="G89" s="308"/>
      <c r="H89" s="308"/>
      <c r="I89" s="308"/>
      <c r="J89" s="308"/>
      <c r="K89" s="308"/>
      <c r="L89" s="308"/>
      <c r="M89" s="308"/>
      <c r="N89" s="308"/>
      <c r="O89" s="308"/>
      <c r="P89" s="308"/>
      <c r="Q89" s="308"/>
    </row>
    <row r="90" spans="1:21" s="311" customFormat="1" ht="30" customHeight="1">
      <c r="A90" s="930" t="s">
        <v>566</v>
      </c>
      <c r="B90" s="931"/>
      <c r="C90" s="940" t="s">
        <v>567</v>
      </c>
      <c r="D90" s="933">
        <v>0</v>
      </c>
      <c r="E90" s="933">
        <v>0</v>
      </c>
      <c r="F90" s="934">
        <f t="shared" si="2"/>
        <v>0</v>
      </c>
      <c r="G90" s="308"/>
      <c r="H90" s="308"/>
      <c r="I90" s="308"/>
      <c r="J90" s="308"/>
      <c r="K90" s="308"/>
      <c r="L90" s="308"/>
      <c r="M90" s="308"/>
      <c r="N90" s="308"/>
      <c r="O90" s="308"/>
      <c r="P90" s="308"/>
      <c r="Q90" s="308"/>
    </row>
    <row r="91" spans="1:21" s="311" customFormat="1" ht="30" customHeight="1">
      <c r="A91" s="930" t="s">
        <v>568</v>
      </c>
      <c r="B91" s="931"/>
      <c r="C91" s="940" t="s">
        <v>569</v>
      </c>
      <c r="D91" s="933">
        <v>0</v>
      </c>
      <c r="E91" s="933">
        <v>0</v>
      </c>
      <c r="F91" s="934">
        <f t="shared" si="2"/>
        <v>0</v>
      </c>
      <c r="G91" s="308"/>
      <c r="H91" s="308"/>
      <c r="I91" s="308"/>
      <c r="J91" s="308"/>
      <c r="K91" s="308"/>
      <c r="L91" s="308"/>
      <c r="M91" s="308"/>
      <c r="N91" s="308"/>
      <c r="O91" s="308"/>
      <c r="P91" s="308"/>
      <c r="Q91" s="308"/>
    </row>
    <row r="92" spans="1:21" s="311" customFormat="1" ht="30" customHeight="1">
      <c r="A92" s="930" t="s">
        <v>570</v>
      </c>
      <c r="B92" s="931"/>
      <c r="C92" s="940" t="s">
        <v>571</v>
      </c>
      <c r="D92" s="933">
        <v>0</v>
      </c>
      <c r="E92" s="933">
        <v>0</v>
      </c>
      <c r="F92" s="934">
        <f t="shared" si="2"/>
        <v>0</v>
      </c>
      <c r="G92" s="308"/>
      <c r="H92" s="308"/>
      <c r="I92" s="308"/>
      <c r="J92" s="308"/>
      <c r="K92" s="308"/>
      <c r="L92" s="308"/>
      <c r="M92" s="308"/>
      <c r="N92" s="308"/>
      <c r="O92" s="308"/>
      <c r="P92" s="308"/>
      <c r="Q92" s="308"/>
    </row>
    <row r="93" spans="1:21" s="311" customFormat="1" ht="30" customHeight="1">
      <c r="A93" s="930" t="s">
        <v>572</v>
      </c>
      <c r="B93" s="931"/>
      <c r="C93" s="940" t="s">
        <v>573</v>
      </c>
      <c r="D93" s="933">
        <v>0</v>
      </c>
      <c r="E93" s="933">
        <v>0</v>
      </c>
      <c r="F93" s="934">
        <f t="shared" si="1"/>
        <v>0</v>
      </c>
      <c r="G93" s="308"/>
      <c r="H93" s="308"/>
      <c r="I93" s="308"/>
      <c r="J93" s="308"/>
      <c r="K93" s="308"/>
      <c r="L93" s="308"/>
      <c r="M93" s="308"/>
      <c r="N93" s="308"/>
      <c r="O93" s="308"/>
      <c r="P93" s="308"/>
      <c r="Q93" s="308"/>
    </row>
    <row r="94" spans="1:21" s="311" customFormat="1" ht="30" customHeight="1">
      <c r="A94" s="930" t="s">
        <v>653</v>
      </c>
      <c r="B94" s="931"/>
      <c r="C94" s="940" t="s">
        <v>575</v>
      </c>
      <c r="D94" s="933">
        <v>0</v>
      </c>
      <c r="E94" s="933">
        <v>0</v>
      </c>
      <c r="F94" s="934">
        <f t="shared" si="1"/>
        <v>0</v>
      </c>
      <c r="G94" s="308"/>
      <c r="H94" s="308"/>
      <c r="I94" s="308"/>
      <c r="J94" s="308"/>
      <c r="K94" s="308"/>
      <c r="L94" s="308"/>
      <c r="M94" s="308"/>
      <c r="N94" s="308"/>
      <c r="O94" s="308"/>
      <c r="P94" s="308"/>
      <c r="Q94" s="308"/>
    </row>
    <row r="95" spans="1:21" s="311" customFormat="1" ht="30" customHeight="1">
      <c r="A95" s="930" t="s">
        <v>653</v>
      </c>
      <c r="B95" s="931"/>
      <c r="C95" s="940" t="s">
        <v>577</v>
      </c>
      <c r="D95" s="933">
        <v>0</v>
      </c>
      <c r="E95" s="933">
        <v>0</v>
      </c>
      <c r="F95" s="934">
        <f t="shared" si="1"/>
        <v>0</v>
      </c>
      <c r="G95" s="308"/>
      <c r="H95" s="308"/>
      <c r="I95" s="308"/>
      <c r="J95" s="308"/>
      <c r="K95" s="308"/>
      <c r="L95" s="308"/>
      <c r="M95" s="308"/>
      <c r="N95" s="308"/>
      <c r="O95" s="308"/>
      <c r="P95" s="308"/>
      <c r="Q95" s="308"/>
    </row>
    <row r="96" spans="1:21" s="311" customFormat="1" ht="30" customHeight="1">
      <c r="A96" s="930" t="s">
        <v>653</v>
      </c>
      <c r="B96" s="931"/>
      <c r="C96" s="940" t="s">
        <v>579</v>
      </c>
      <c r="D96" s="933">
        <v>0</v>
      </c>
      <c r="E96" s="933">
        <v>0</v>
      </c>
      <c r="F96" s="934">
        <f t="shared" si="1"/>
        <v>0</v>
      </c>
      <c r="G96" s="308"/>
      <c r="H96" s="308"/>
      <c r="I96" s="308"/>
      <c r="J96" s="308"/>
      <c r="K96" s="308"/>
      <c r="L96" s="308"/>
      <c r="M96" s="308"/>
      <c r="N96" s="308"/>
      <c r="O96" s="308"/>
      <c r="P96" s="308"/>
      <c r="Q96" s="308"/>
    </row>
    <row r="97" spans="1:17" s="311" customFormat="1" ht="30" customHeight="1">
      <c r="A97" s="930" t="s">
        <v>654</v>
      </c>
      <c r="B97" s="931"/>
      <c r="C97" s="940" t="s">
        <v>581</v>
      </c>
      <c r="D97" s="933">
        <v>0</v>
      </c>
      <c r="E97" s="933">
        <v>0</v>
      </c>
      <c r="F97" s="934">
        <f t="shared" si="1"/>
        <v>0</v>
      </c>
      <c r="G97" s="308"/>
      <c r="H97" s="308"/>
      <c r="I97" s="308"/>
      <c r="J97" s="308"/>
      <c r="K97" s="308"/>
      <c r="L97" s="308"/>
      <c r="M97" s="308"/>
      <c r="N97" s="308"/>
      <c r="O97" s="308"/>
      <c r="P97" s="308"/>
      <c r="Q97" s="308"/>
    </row>
    <row r="98" spans="1:17" s="311" customFormat="1" ht="30" customHeight="1">
      <c r="A98" s="930" t="s">
        <v>654</v>
      </c>
      <c r="B98" s="931"/>
      <c r="C98" s="940">
        <v>69270</v>
      </c>
      <c r="D98" s="933">
        <v>0</v>
      </c>
      <c r="E98" s="933">
        <v>0</v>
      </c>
      <c r="F98" s="934">
        <f t="shared" si="1"/>
        <v>0</v>
      </c>
      <c r="G98" s="308"/>
      <c r="H98" s="308"/>
      <c r="I98" s="308"/>
      <c r="J98" s="308"/>
      <c r="K98" s="308"/>
      <c r="L98" s="308"/>
      <c r="M98" s="308"/>
      <c r="N98" s="308"/>
      <c r="O98" s="308"/>
      <c r="P98" s="308"/>
      <c r="Q98" s="308"/>
    </row>
    <row r="99" spans="1:17" s="311" customFormat="1" ht="30" customHeight="1">
      <c r="A99" s="930" t="s">
        <v>583</v>
      </c>
      <c r="B99" s="931"/>
      <c r="C99" s="940" t="s">
        <v>584</v>
      </c>
      <c r="D99" s="933">
        <v>0</v>
      </c>
      <c r="E99" s="933">
        <v>0</v>
      </c>
      <c r="F99" s="934">
        <f t="shared" si="1"/>
        <v>0</v>
      </c>
      <c r="G99" s="308"/>
      <c r="H99" s="308"/>
      <c r="I99" s="308"/>
      <c r="J99" s="308"/>
      <c r="K99" s="308"/>
      <c r="L99" s="308"/>
      <c r="M99" s="308"/>
      <c r="N99" s="308"/>
      <c r="O99" s="308"/>
      <c r="P99" s="308"/>
      <c r="Q99" s="308"/>
    </row>
    <row r="100" spans="1:17" s="311" customFormat="1" ht="30" customHeight="1">
      <c r="A100" s="930" t="s">
        <v>418</v>
      </c>
      <c r="B100" s="931"/>
      <c r="C100" s="940" t="s">
        <v>586</v>
      </c>
      <c r="D100" s="933">
        <v>0</v>
      </c>
      <c r="E100" s="933">
        <v>0</v>
      </c>
      <c r="F100" s="934">
        <f t="shared" si="1"/>
        <v>0</v>
      </c>
      <c r="G100" s="308"/>
      <c r="H100" s="308"/>
      <c r="I100" s="308"/>
      <c r="J100" s="308"/>
      <c r="K100" s="308"/>
      <c r="L100" s="308"/>
      <c r="M100" s="308"/>
      <c r="N100" s="308"/>
      <c r="O100" s="308"/>
      <c r="P100" s="308"/>
      <c r="Q100" s="308"/>
    </row>
    <row r="101" spans="1:17" s="311" customFormat="1" ht="30" customHeight="1" thickBot="1">
      <c r="A101" s="935" t="s">
        <v>587</v>
      </c>
      <c r="B101" s="936"/>
      <c r="C101" s="941" t="s">
        <v>588</v>
      </c>
      <c r="D101" s="933">
        <v>0</v>
      </c>
      <c r="E101" s="933">
        <v>0</v>
      </c>
      <c r="F101" s="939">
        <f t="shared" si="1"/>
        <v>0</v>
      </c>
      <c r="G101" s="308"/>
      <c r="H101" s="308"/>
      <c r="I101" s="308"/>
      <c r="J101" s="308"/>
      <c r="K101" s="308"/>
      <c r="L101" s="308"/>
      <c r="M101" s="308"/>
      <c r="N101" s="308"/>
      <c r="O101" s="308"/>
      <c r="P101" s="308"/>
      <c r="Q101" s="308"/>
    </row>
    <row r="102" spans="1:17" s="311" customFormat="1" ht="30" customHeight="1" thickBot="1">
      <c r="A102" s="1085" t="s">
        <v>655</v>
      </c>
      <c r="B102" s="1090"/>
      <c r="C102" s="346"/>
      <c r="D102" s="345">
        <f>SUM(D64:D101)</f>
        <v>1333210</v>
      </c>
      <c r="E102" s="345">
        <f>SUM(E64:E101)</f>
        <v>0</v>
      </c>
      <c r="F102" s="345">
        <f t="shared" si="1"/>
        <v>1333210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87" t="str">
        <f>C7</f>
        <v>2021-22</v>
      </c>
      <c r="D105" s="1088"/>
      <c r="E105" s="1088"/>
      <c r="F105" s="1089"/>
      <c r="G105" s="308"/>
      <c r="H105" s="308"/>
      <c r="I105" s="308"/>
      <c r="J105" s="308"/>
      <c r="K105" s="308"/>
      <c r="L105" s="308"/>
      <c r="M105" s="308"/>
      <c r="N105" s="308"/>
      <c r="O105" s="308"/>
      <c r="P105" s="308"/>
      <c r="Q105" s="308"/>
    </row>
    <row r="106" spans="1:17" s="311" customFormat="1" ht="111.6" customHeight="1" thickBot="1">
      <c r="A106" s="1224" t="s">
        <v>170</v>
      </c>
      <c r="B106" s="1225"/>
      <c r="C106" s="295" t="s">
        <v>284</v>
      </c>
      <c r="D106" s="296" t="s">
        <v>647</v>
      </c>
      <c r="E106" s="702" t="s">
        <v>648</v>
      </c>
      <c r="F106" s="297" t="s">
        <v>649</v>
      </c>
      <c r="G106" s="308"/>
      <c r="H106" s="308"/>
      <c r="I106" s="308"/>
      <c r="J106" s="308"/>
      <c r="K106" s="308"/>
      <c r="L106" s="308"/>
      <c r="M106" s="308"/>
      <c r="N106" s="308"/>
      <c r="O106" s="308"/>
      <c r="P106" s="308"/>
      <c r="Q106" s="308"/>
    </row>
    <row r="107" spans="1:17" s="311" customFormat="1" ht="30" customHeight="1">
      <c r="A107" s="306" t="s">
        <v>590</v>
      </c>
      <c r="B107" s="319"/>
      <c r="C107" s="320" t="s">
        <v>591</v>
      </c>
      <c r="D107" s="582">
        <v>0</v>
      </c>
      <c r="E107" s="582">
        <v>0</v>
      </c>
      <c r="F107" s="307">
        <f t="shared" si="1"/>
        <v>0</v>
      </c>
      <c r="G107" s="308"/>
      <c r="H107" s="308"/>
      <c r="I107" s="308"/>
      <c r="J107" s="308"/>
      <c r="K107" s="308"/>
      <c r="L107" s="308"/>
      <c r="M107" s="308"/>
      <c r="N107" s="308"/>
      <c r="O107" s="308"/>
      <c r="P107" s="308"/>
      <c r="Q107" s="308"/>
    </row>
    <row r="108" spans="1:17" s="311" customFormat="1" ht="30" customHeight="1">
      <c r="A108" s="930" t="s">
        <v>656</v>
      </c>
      <c r="B108" s="931"/>
      <c r="C108" s="940" t="s">
        <v>593</v>
      </c>
      <c r="D108" s="933">
        <v>100000</v>
      </c>
      <c r="E108" s="933">
        <v>0</v>
      </c>
      <c r="F108" s="934">
        <f t="shared" si="1"/>
        <v>100000</v>
      </c>
      <c r="G108" s="308"/>
      <c r="H108" s="308"/>
      <c r="I108" s="308"/>
      <c r="J108" s="308"/>
      <c r="K108" s="308"/>
      <c r="L108" s="308"/>
      <c r="M108" s="308"/>
      <c r="N108" s="308"/>
      <c r="O108" s="308"/>
      <c r="P108" s="308"/>
      <c r="Q108" s="308"/>
    </row>
    <row r="109" spans="1:17" s="311" customFormat="1" ht="30" customHeight="1">
      <c r="A109" s="930" t="s">
        <v>594</v>
      </c>
      <c r="B109" s="931"/>
      <c r="C109" s="940" t="s">
        <v>595</v>
      </c>
      <c r="D109" s="933">
        <v>282174</v>
      </c>
      <c r="E109" s="933">
        <v>0</v>
      </c>
      <c r="F109" s="934">
        <f t="shared" si="1"/>
        <v>282174</v>
      </c>
      <c r="G109" s="308"/>
      <c r="H109" s="308"/>
      <c r="I109" s="308"/>
      <c r="J109" s="308"/>
      <c r="K109" s="308"/>
      <c r="L109" s="308"/>
      <c r="M109" s="308"/>
      <c r="N109" s="308"/>
      <c r="O109" s="308"/>
      <c r="P109" s="308"/>
      <c r="Q109" s="308"/>
    </row>
    <row r="110" spans="1:17" s="311" customFormat="1" ht="30" customHeight="1">
      <c r="A110" s="930" t="s">
        <v>596</v>
      </c>
      <c r="B110" s="931"/>
      <c r="C110" s="940" t="s">
        <v>597</v>
      </c>
      <c r="D110" s="933">
        <v>0</v>
      </c>
      <c r="E110" s="933">
        <v>0</v>
      </c>
      <c r="F110" s="934">
        <f t="shared" si="1"/>
        <v>0</v>
      </c>
      <c r="G110" s="308"/>
      <c r="H110" s="308"/>
      <c r="I110" s="308"/>
      <c r="J110" s="308"/>
      <c r="K110" s="308"/>
      <c r="L110" s="308"/>
      <c r="M110" s="308"/>
      <c r="N110" s="308"/>
      <c r="O110" s="308"/>
      <c r="P110" s="308"/>
      <c r="Q110" s="308"/>
    </row>
    <row r="111" spans="1:17" s="311" customFormat="1" ht="30" customHeight="1">
      <c r="A111" s="930" t="s">
        <v>599</v>
      </c>
      <c r="B111" s="931"/>
      <c r="C111" s="940" t="s">
        <v>600</v>
      </c>
      <c r="D111" s="933">
        <v>0</v>
      </c>
      <c r="E111" s="933">
        <v>0</v>
      </c>
      <c r="F111" s="934">
        <f t="shared" si="1"/>
        <v>0</v>
      </c>
      <c r="G111" s="308"/>
      <c r="H111" s="308"/>
      <c r="I111" s="308"/>
      <c r="J111" s="308"/>
      <c r="K111" s="308"/>
      <c r="L111" s="308"/>
      <c r="M111" s="308"/>
      <c r="N111" s="308"/>
      <c r="O111" s="308"/>
      <c r="P111" s="308"/>
      <c r="Q111" s="308"/>
    </row>
    <row r="112" spans="1:17" s="311" customFormat="1" ht="30" customHeight="1">
      <c r="A112" s="930" t="s">
        <v>598</v>
      </c>
      <c r="B112" s="931"/>
      <c r="C112" s="940">
        <v>73050</v>
      </c>
      <c r="D112" s="933">
        <v>0</v>
      </c>
      <c r="E112" s="933">
        <v>0</v>
      </c>
      <c r="F112" s="934">
        <f>+D112+E112</f>
        <v>0</v>
      </c>
      <c r="G112" s="308"/>
      <c r="H112" s="308"/>
      <c r="I112" s="308"/>
      <c r="J112" s="308"/>
      <c r="K112" s="308"/>
      <c r="L112" s="308"/>
      <c r="M112" s="308"/>
      <c r="N112" s="308"/>
      <c r="O112" s="308"/>
      <c r="P112" s="308"/>
      <c r="Q112" s="308"/>
    </row>
    <row r="113" spans="1:17" s="311" customFormat="1" ht="30" customHeight="1">
      <c r="A113" s="1255" t="s">
        <v>782</v>
      </c>
      <c r="B113" s="931"/>
      <c r="C113" s="1252">
        <v>73100</v>
      </c>
      <c r="D113" s="1253">
        <v>0</v>
      </c>
      <c r="E113" s="1253"/>
      <c r="F113" s="1254"/>
      <c r="G113" s="308"/>
      <c r="H113" s="308"/>
      <c r="I113" s="308"/>
      <c r="J113" s="308"/>
      <c r="K113" s="308"/>
      <c r="L113" s="308"/>
      <c r="M113" s="308"/>
      <c r="N113" s="308"/>
      <c r="O113" s="308"/>
      <c r="P113" s="308"/>
      <c r="Q113" s="308"/>
    </row>
    <row r="114" spans="1:17" s="311" customFormat="1" ht="30" customHeight="1">
      <c r="A114" s="930" t="s">
        <v>657</v>
      </c>
      <c r="B114" s="931"/>
      <c r="C114" s="940" t="s">
        <v>602</v>
      </c>
      <c r="D114" s="933">
        <v>0</v>
      </c>
      <c r="E114" s="933">
        <v>0</v>
      </c>
      <c r="F114" s="934">
        <f t="shared" si="1"/>
        <v>0</v>
      </c>
      <c r="G114" s="308"/>
      <c r="H114" s="308"/>
      <c r="I114" s="308"/>
      <c r="J114" s="308"/>
      <c r="K114" s="308"/>
      <c r="L114" s="308"/>
      <c r="M114" s="308"/>
      <c r="N114" s="308"/>
      <c r="O114" s="308"/>
      <c r="P114" s="308"/>
      <c r="Q114" s="308"/>
    </row>
    <row r="115" spans="1:17" s="311" customFormat="1" ht="30" customHeight="1">
      <c r="A115" s="930" t="s">
        <v>603</v>
      </c>
      <c r="B115" s="931"/>
      <c r="C115" s="940" t="s">
        <v>604</v>
      </c>
      <c r="D115" s="933">
        <v>0</v>
      </c>
      <c r="E115" s="933">
        <v>0</v>
      </c>
      <c r="F115" s="934">
        <f t="shared" si="1"/>
        <v>0</v>
      </c>
      <c r="G115" s="308"/>
      <c r="H115" s="308"/>
      <c r="I115" s="308"/>
      <c r="J115" s="308"/>
      <c r="K115" s="308"/>
      <c r="L115" s="308"/>
      <c r="M115" s="308"/>
      <c r="N115" s="308"/>
      <c r="O115" s="308"/>
      <c r="P115" s="308"/>
      <c r="Q115" s="308"/>
    </row>
    <row r="116" spans="1:17" s="311" customFormat="1" ht="30" customHeight="1">
      <c r="A116" s="930" t="s">
        <v>605</v>
      </c>
      <c r="B116" s="931"/>
      <c r="C116" s="940" t="s">
        <v>606</v>
      </c>
      <c r="D116" s="933">
        <v>0</v>
      </c>
      <c r="E116" s="933">
        <v>0</v>
      </c>
      <c r="F116" s="934">
        <f t="shared" si="1"/>
        <v>0</v>
      </c>
      <c r="G116" s="308"/>
      <c r="H116" s="308"/>
      <c r="I116" s="308"/>
      <c r="J116" s="308"/>
      <c r="K116" s="308"/>
      <c r="L116" s="308"/>
      <c r="M116" s="308"/>
      <c r="N116" s="308"/>
      <c r="O116" s="308"/>
      <c r="P116" s="308"/>
      <c r="Q116" s="308"/>
    </row>
    <row r="117" spans="1:17" s="311" customFormat="1" ht="30" customHeight="1" thickBot="1">
      <c r="A117" s="935" t="s">
        <v>607</v>
      </c>
      <c r="B117" s="936"/>
      <c r="C117" s="941" t="s">
        <v>608</v>
      </c>
      <c r="D117" s="938">
        <v>0</v>
      </c>
      <c r="E117" s="938">
        <v>0</v>
      </c>
      <c r="F117" s="939">
        <f t="shared" si="1"/>
        <v>0</v>
      </c>
      <c r="G117" s="308"/>
      <c r="H117" s="308"/>
      <c r="I117" s="308"/>
      <c r="J117" s="308"/>
      <c r="K117" s="308"/>
      <c r="L117" s="308"/>
      <c r="M117" s="308"/>
      <c r="N117" s="308"/>
      <c r="O117" s="308"/>
      <c r="P117" s="308"/>
      <c r="Q117" s="308"/>
    </row>
    <row r="118" spans="1:17" s="311" customFormat="1" ht="30" customHeight="1" thickBot="1">
      <c r="A118" s="347" t="s">
        <v>609</v>
      </c>
      <c r="B118" s="348"/>
      <c r="C118" s="348"/>
      <c r="D118" s="349">
        <f>SUM(D107:D117)</f>
        <v>382174</v>
      </c>
      <c r="E118" s="349">
        <f>SUM(E107:E117)</f>
        <v>0</v>
      </c>
      <c r="F118" s="349">
        <f>SUM(D118:E118)</f>
        <v>382174</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85" t="s">
        <v>610</v>
      </c>
      <c r="B120" s="1090"/>
      <c r="C120" s="335"/>
      <c r="D120" s="345">
        <f>+D57+D102+D118</f>
        <v>4508876</v>
      </c>
      <c r="E120" s="345">
        <f>+E57+E102+E118</f>
        <v>0</v>
      </c>
      <c r="F120" s="345">
        <f>SUM(D120:E120)</f>
        <v>4508876</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5" customFormat="1" ht="30" customHeight="1" thickBot="1">
      <c r="A122" s="25"/>
      <c r="B122" s="25"/>
      <c r="C122" s="25"/>
      <c r="D122" s="25"/>
      <c r="E122" s="25"/>
      <c r="F122" s="25"/>
    </row>
    <row r="123" spans="1:17" s="311" customFormat="1" ht="116.45" customHeight="1" thickBot="1">
      <c r="A123" s="1222" t="s">
        <v>658</v>
      </c>
      <c r="B123" s="1223"/>
      <c r="C123" s="295" t="s">
        <v>284</v>
      </c>
      <c r="D123" s="297" t="s">
        <v>647</v>
      </c>
      <c r="E123" s="297" t="s">
        <v>648</v>
      </c>
      <c r="F123" s="297" t="s">
        <v>649</v>
      </c>
      <c r="G123" s="308"/>
      <c r="H123" s="308"/>
      <c r="I123" s="308"/>
      <c r="J123" s="308"/>
      <c r="K123" s="308"/>
      <c r="L123" s="308"/>
      <c r="M123" s="308"/>
      <c r="N123" s="308"/>
      <c r="O123" s="308"/>
      <c r="P123" s="308"/>
      <c r="Q123" s="308"/>
    </row>
    <row r="124" spans="1:17" s="342" customFormat="1" ht="30" customHeight="1">
      <c r="A124" s="306" t="s">
        <v>659</v>
      </c>
      <c r="B124" s="339"/>
      <c r="C124" s="340"/>
      <c r="D124" s="582">
        <v>0</v>
      </c>
      <c r="E124" s="582">
        <v>0</v>
      </c>
      <c r="F124" s="583">
        <f>+D124+E124</f>
        <v>0</v>
      </c>
      <c r="G124" s="341"/>
      <c r="H124" s="341"/>
      <c r="I124" s="341"/>
      <c r="J124" s="341"/>
      <c r="K124" s="341"/>
      <c r="L124" s="341"/>
      <c r="M124" s="341"/>
      <c r="N124" s="341"/>
      <c r="O124" s="341"/>
      <c r="P124" s="341"/>
      <c r="Q124" s="341"/>
    </row>
    <row r="125" spans="1:17" s="342" customFormat="1" ht="30" customHeight="1">
      <c r="A125" s="930" t="s">
        <v>660</v>
      </c>
      <c r="B125" s="757"/>
      <c r="C125" s="942"/>
      <c r="D125" s="943">
        <f>'EXHIBIT C'!H10</f>
        <v>3965663</v>
      </c>
      <c r="E125" s="933">
        <v>0</v>
      </c>
      <c r="F125" s="934">
        <f t="shared" ref="F125:F135" si="3">+D125+E125</f>
        <v>3965663</v>
      </c>
      <c r="G125" s="341"/>
      <c r="H125" s="341"/>
      <c r="I125" s="341"/>
      <c r="J125" s="341"/>
      <c r="K125" s="341"/>
      <c r="L125" s="341"/>
      <c r="M125" s="341"/>
      <c r="N125" s="341"/>
      <c r="O125" s="341"/>
      <c r="P125" s="341"/>
      <c r="Q125" s="341"/>
    </row>
    <row r="126" spans="1:17" s="342" customFormat="1" ht="30" customHeight="1">
      <c r="A126" s="930" t="s">
        <v>661</v>
      </c>
      <c r="B126" s="757"/>
      <c r="C126" s="942"/>
      <c r="D126" s="943">
        <f>'EXHIBIT C'!F19</f>
        <v>362937</v>
      </c>
      <c r="E126" s="933">
        <v>0</v>
      </c>
      <c r="F126" s="934">
        <f t="shared" si="3"/>
        <v>362937</v>
      </c>
      <c r="G126" s="341"/>
      <c r="H126" s="341"/>
      <c r="I126" s="341"/>
      <c r="J126" s="341"/>
      <c r="K126" s="341"/>
      <c r="L126" s="341"/>
      <c r="M126" s="341"/>
      <c r="N126" s="341"/>
      <c r="O126" s="341"/>
      <c r="P126" s="341"/>
      <c r="Q126" s="341"/>
    </row>
    <row r="127" spans="1:17" s="342" customFormat="1" ht="30" customHeight="1">
      <c r="A127" s="930" t="s">
        <v>662</v>
      </c>
      <c r="B127" s="757"/>
      <c r="C127" s="942"/>
      <c r="D127" s="933">
        <v>180276</v>
      </c>
      <c r="E127" s="933">
        <v>0</v>
      </c>
      <c r="F127" s="934">
        <f t="shared" si="3"/>
        <v>180276</v>
      </c>
      <c r="G127" s="341"/>
      <c r="H127" s="341"/>
      <c r="I127" s="341"/>
      <c r="J127" s="341"/>
      <c r="K127" s="341"/>
      <c r="L127" s="341"/>
      <c r="M127" s="341"/>
      <c r="N127" s="341"/>
      <c r="O127" s="341"/>
      <c r="P127" s="341"/>
      <c r="Q127" s="341"/>
    </row>
    <row r="128" spans="1:17" s="342" customFormat="1" ht="30" customHeight="1">
      <c r="A128" s="930" t="s">
        <v>663</v>
      </c>
      <c r="B128" s="757"/>
      <c r="C128" s="942"/>
      <c r="D128" s="933">
        <v>0</v>
      </c>
      <c r="E128" s="933">
        <v>0</v>
      </c>
      <c r="F128" s="934">
        <f t="shared" si="3"/>
        <v>0</v>
      </c>
      <c r="G128" s="341"/>
      <c r="H128" s="341"/>
      <c r="I128" s="341"/>
      <c r="J128" s="341"/>
      <c r="K128" s="341"/>
      <c r="L128" s="341"/>
      <c r="M128" s="341"/>
      <c r="N128" s="341"/>
      <c r="O128" s="341"/>
      <c r="P128" s="341"/>
      <c r="Q128" s="341"/>
    </row>
    <row r="129" spans="1:17" s="342" customFormat="1" ht="50.25" customHeight="1">
      <c r="A129" s="1226" t="s">
        <v>775</v>
      </c>
      <c r="B129" s="1227"/>
      <c r="C129" s="942"/>
      <c r="D129" s="933">
        <v>0</v>
      </c>
      <c r="E129" s="933">
        <v>0</v>
      </c>
      <c r="F129" s="934">
        <f t="shared" si="3"/>
        <v>0</v>
      </c>
      <c r="G129" s="341"/>
      <c r="H129" s="341"/>
      <c r="I129" s="341"/>
      <c r="J129" s="341"/>
      <c r="K129" s="341"/>
      <c r="L129" s="341"/>
      <c r="M129" s="341"/>
      <c r="N129" s="341"/>
      <c r="O129" s="341"/>
      <c r="P129" s="341"/>
      <c r="Q129" s="341"/>
    </row>
    <row r="130" spans="1:17" s="342" customFormat="1" ht="30" customHeight="1">
      <c r="A130" s="930" t="s">
        <v>664</v>
      </c>
      <c r="B130" s="757"/>
      <c r="C130" s="942"/>
      <c r="D130" s="933">
        <v>0</v>
      </c>
      <c r="E130" s="933">
        <v>0</v>
      </c>
      <c r="F130" s="934">
        <f t="shared" si="3"/>
        <v>0</v>
      </c>
      <c r="G130" s="341"/>
      <c r="H130" s="341"/>
      <c r="I130" s="341"/>
      <c r="J130" s="341"/>
      <c r="K130" s="341"/>
      <c r="L130" s="341"/>
      <c r="M130" s="341"/>
      <c r="N130" s="341"/>
      <c r="O130" s="341"/>
      <c r="P130" s="341"/>
      <c r="Q130" s="341"/>
    </row>
    <row r="131" spans="1:17" s="342" customFormat="1" ht="30" customHeight="1">
      <c r="A131" s="930" t="s">
        <v>665</v>
      </c>
      <c r="B131" s="757"/>
      <c r="C131" s="942"/>
      <c r="D131" s="933">
        <v>0</v>
      </c>
      <c r="E131" s="933">
        <v>0</v>
      </c>
      <c r="F131" s="934">
        <f t="shared" si="3"/>
        <v>0</v>
      </c>
      <c r="G131" s="341"/>
      <c r="H131" s="341"/>
      <c r="I131" s="341"/>
      <c r="J131" s="341"/>
      <c r="K131" s="341"/>
      <c r="L131" s="341"/>
      <c r="M131" s="341"/>
      <c r="N131" s="341"/>
      <c r="O131" s="341"/>
      <c r="P131" s="341"/>
      <c r="Q131" s="341"/>
    </row>
    <row r="132" spans="1:17" s="342" customFormat="1" ht="30" customHeight="1">
      <c r="A132" s="930" t="s">
        <v>666</v>
      </c>
      <c r="B132" s="757"/>
      <c r="C132" s="942"/>
      <c r="D132" s="933">
        <v>0</v>
      </c>
      <c r="E132" s="933">
        <v>0</v>
      </c>
      <c r="F132" s="934">
        <f t="shared" si="3"/>
        <v>0</v>
      </c>
      <c r="G132" s="341"/>
      <c r="H132" s="341"/>
      <c r="I132" s="341"/>
      <c r="J132" s="341"/>
      <c r="K132" s="341"/>
      <c r="L132" s="341"/>
      <c r="M132" s="341"/>
      <c r="N132" s="341"/>
      <c r="O132" s="341"/>
      <c r="P132" s="341"/>
      <c r="Q132" s="341"/>
    </row>
    <row r="133" spans="1:17" s="342" customFormat="1" ht="30" customHeight="1">
      <c r="A133" s="930" t="s">
        <v>667</v>
      </c>
      <c r="B133" s="757"/>
      <c r="C133" s="942"/>
      <c r="D133" s="933">
        <v>0</v>
      </c>
      <c r="E133" s="933">
        <v>0</v>
      </c>
      <c r="F133" s="934">
        <f t="shared" si="3"/>
        <v>0</v>
      </c>
      <c r="G133" s="341"/>
      <c r="H133" s="341"/>
      <c r="I133" s="341"/>
      <c r="J133" s="341"/>
      <c r="K133" s="341"/>
      <c r="L133" s="341"/>
      <c r="M133" s="341"/>
      <c r="N133" s="341"/>
      <c r="O133" s="341"/>
      <c r="P133" s="341"/>
      <c r="Q133" s="341"/>
    </row>
    <row r="134" spans="1:17" s="342" customFormat="1" ht="30" customHeight="1">
      <c r="A134" s="930" t="s">
        <v>668</v>
      </c>
      <c r="B134" s="757"/>
      <c r="C134" s="942"/>
      <c r="D134" s="933">
        <v>0</v>
      </c>
      <c r="E134" s="933">
        <v>0</v>
      </c>
      <c r="F134" s="934">
        <f t="shared" si="3"/>
        <v>0</v>
      </c>
      <c r="G134" s="341"/>
      <c r="H134" s="341"/>
      <c r="I134" s="341"/>
      <c r="J134" s="341"/>
      <c r="K134" s="341"/>
      <c r="L134" s="341"/>
      <c r="M134" s="341"/>
      <c r="N134" s="341"/>
      <c r="O134" s="341"/>
      <c r="P134" s="341"/>
      <c r="Q134" s="341"/>
    </row>
    <row r="135" spans="1:17" s="342" customFormat="1" ht="30" customHeight="1" thickBot="1">
      <c r="A135" s="935" t="s">
        <v>669</v>
      </c>
      <c r="B135" s="944"/>
      <c r="C135" s="945"/>
      <c r="D135" s="938">
        <v>0</v>
      </c>
      <c r="E135" s="938">
        <v>0</v>
      </c>
      <c r="F135" s="939">
        <f t="shared" si="3"/>
        <v>0</v>
      </c>
      <c r="G135" s="341"/>
      <c r="H135" s="341"/>
      <c r="I135" s="341"/>
      <c r="J135" s="341"/>
      <c r="K135" s="341"/>
      <c r="L135" s="341"/>
      <c r="M135" s="341"/>
      <c r="N135" s="341"/>
      <c r="O135" s="341"/>
      <c r="P135" s="341"/>
      <c r="Q135" s="341"/>
    </row>
    <row r="136" spans="1:17" ht="30" customHeight="1" thickBot="1">
      <c r="A136" s="1085" t="s">
        <v>670</v>
      </c>
      <c r="B136" s="1086"/>
      <c r="C136" s="335"/>
      <c r="D136" s="336">
        <f>SUM(D124:D135)</f>
        <v>4508876</v>
      </c>
      <c r="E136" s="337">
        <f>SUM(E124:E135)</f>
        <v>0</v>
      </c>
      <c r="F136" s="338">
        <f>SUM(F124:F135)</f>
        <v>4508876</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60" t="s">
        <v>671</v>
      </c>
      <c r="B138" s="1160"/>
      <c r="C138" s="1161"/>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8" t="s">
        <v>672</v>
      </c>
      <c r="B140" s="311"/>
      <c r="C140" s="311"/>
      <c r="D140" s="330"/>
      <c r="E140" s="330"/>
      <c r="F140" s="331"/>
      <c r="G140" s="325"/>
      <c r="H140" s="325"/>
      <c r="I140" s="325"/>
      <c r="J140" s="325"/>
      <c r="K140" s="325"/>
      <c r="L140" s="325"/>
      <c r="M140" s="325"/>
      <c r="N140" s="325"/>
      <c r="O140" s="325"/>
      <c r="P140" s="325"/>
      <c r="Q140" s="325"/>
    </row>
    <row r="141" spans="1:17" ht="30" customHeight="1">
      <c r="A141" s="1077"/>
      <c r="B141" s="1078"/>
      <c r="C141" s="1078"/>
      <c r="D141" s="1078"/>
      <c r="E141" s="1078"/>
      <c r="F141" s="1079"/>
      <c r="G141" s="325"/>
      <c r="H141" s="325"/>
      <c r="I141" s="325"/>
      <c r="J141" s="325"/>
      <c r="K141" s="325"/>
      <c r="L141" s="325"/>
      <c r="M141" s="325"/>
      <c r="N141" s="325"/>
      <c r="O141" s="325"/>
      <c r="P141" s="325"/>
      <c r="Q141" s="325"/>
    </row>
    <row r="142" spans="1:17" ht="30" customHeight="1">
      <c r="A142" s="1080"/>
      <c r="B142" s="1033"/>
      <c r="C142" s="1033"/>
      <c r="D142" s="1033"/>
      <c r="E142" s="1033"/>
      <c r="F142" s="1081"/>
      <c r="G142" s="325"/>
      <c r="H142" s="325"/>
      <c r="I142" s="325"/>
      <c r="J142" s="325"/>
      <c r="K142" s="325"/>
      <c r="L142" s="325"/>
      <c r="M142" s="325"/>
      <c r="N142" s="325"/>
      <c r="O142" s="325"/>
      <c r="P142" s="325"/>
      <c r="Q142" s="325"/>
    </row>
    <row r="143" spans="1:17" ht="30" customHeight="1">
      <c r="A143" s="1080"/>
      <c r="B143" s="1033"/>
      <c r="C143" s="1033"/>
      <c r="D143" s="1033"/>
      <c r="E143" s="1033"/>
      <c r="F143" s="1081"/>
      <c r="G143" s="325"/>
      <c r="H143" s="325"/>
      <c r="I143" s="325"/>
      <c r="J143" s="325"/>
      <c r="K143" s="325"/>
      <c r="L143" s="325"/>
      <c r="M143" s="325"/>
      <c r="N143" s="325"/>
      <c r="O143" s="325"/>
      <c r="P143" s="325"/>
      <c r="Q143" s="325"/>
    </row>
    <row r="144" spans="1:17" ht="30" customHeight="1">
      <c r="A144" s="1080"/>
      <c r="B144" s="1033"/>
      <c r="C144" s="1033"/>
      <c r="D144" s="1033"/>
      <c r="E144" s="1033"/>
      <c r="F144" s="1081"/>
      <c r="G144" s="325"/>
      <c r="H144" s="325"/>
      <c r="I144" s="325"/>
      <c r="J144" s="325"/>
      <c r="K144" s="325"/>
      <c r="L144" s="325"/>
      <c r="M144" s="325"/>
      <c r="N144" s="325"/>
      <c r="O144" s="325"/>
      <c r="P144" s="325"/>
      <c r="Q144" s="325"/>
    </row>
    <row r="145" spans="1:17" ht="30" customHeight="1">
      <c r="A145" s="1080"/>
      <c r="B145" s="1033"/>
      <c r="C145" s="1033"/>
      <c r="D145" s="1033"/>
      <c r="E145" s="1033"/>
      <c r="F145" s="1081"/>
      <c r="G145" s="325"/>
      <c r="H145" s="325"/>
      <c r="I145" s="325"/>
      <c r="J145" s="325"/>
      <c r="K145" s="325"/>
      <c r="L145" s="325"/>
      <c r="M145" s="325"/>
      <c r="N145" s="325"/>
      <c r="O145" s="325"/>
      <c r="P145" s="325"/>
      <c r="Q145" s="325"/>
    </row>
    <row r="146" spans="1:17" ht="30" customHeight="1">
      <c r="A146" s="1080"/>
      <c r="B146" s="1033"/>
      <c r="C146" s="1033"/>
      <c r="D146" s="1033"/>
      <c r="E146" s="1033"/>
      <c r="F146" s="1081"/>
      <c r="G146" s="325"/>
      <c r="H146" s="325"/>
      <c r="I146" s="325"/>
      <c r="J146" s="325"/>
      <c r="K146" s="325"/>
      <c r="L146" s="325"/>
      <c r="M146" s="325"/>
      <c r="N146" s="325"/>
      <c r="O146" s="325"/>
      <c r="P146" s="325"/>
      <c r="Q146" s="325"/>
    </row>
    <row r="147" spans="1:17" ht="30" customHeight="1" thickBot="1">
      <c r="A147" s="1082"/>
      <c r="B147" s="1083"/>
      <c r="C147" s="1083"/>
      <c r="D147" s="1083"/>
      <c r="E147" s="1083"/>
      <c r="F147" s="1084"/>
      <c r="G147" s="325"/>
      <c r="H147" s="325"/>
      <c r="I147" s="325"/>
      <c r="J147" s="325"/>
      <c r="K147" s="325"/>
      <c r="L147" s="325"/>
      <c r="M147" s="325"/>
      <c r="N147" s="325"/>
      <c r="O147" s="325"/>
      <c r="P147" s="325"/>
      <c r="Q147" s="325"/>
    </row>
    <row r="148" spans="1:17" ht="30" customHeight="1">
      <c r="A148" s="585"/>
      <c r="B148" s="585"/>
      <c r="C148" s="585"/>
      <c r="D148" s="585"/>
      <c r="E148" s="585"/>
      <c r="F148" s="585"/>
      <c r="G148" s="325"/>
      <c r="H148" s="325"/>
      <c r="I148" s="325"/>
      <c r="J148" s="325"/>
      <c r="K148" s="325"/>
      <c r="L148" s="325"/>
      <c r="M148" s="325"/>
      <c r="N148" s="325"/>
      <c r="O148" s="325"/>
      <c r="P148" s="325"/>
      <c r="Q148" s="325"/>
    </row>
    <row r="149" spans="1:17" ht="27" customHeight="1" thickBot="1">
      <c r="A149" s="588" t="s">
        <v>673</v>
      </c>
      <c r="B149" s="586"/>
      <c r="C149" s="586"/>
      <c r="D149" s="330"/>
      <c r="E149" s="330"/>
      <c r="F149" s="331"/>
      <c r="G149" s="325"/>
      <c r="H149" s="325"/>
      <c r="I149" s="325"/>
      <c r="J149" s="325"/>
      <c r="K149" s="325"/>
      <c r="L149" s="325"/>
      <c r="M149" s="325"/>
      <c r="N149" s="325"/>
      <c r="O149" s="325"/>
      <c r="P149" s="325"/>
      <c r="Q149" s="325"/>
    </row>
    <row r="150" spans="1:17" ht="30" customHeight="1">
      <c r="A150" s="1077"/>
      <c r="B150" s="1078"/>
      <c r="C150" s="1078"/>
      <c r="D150" s="1078"/>
      <c r="E150" s="1078"/>
      <c r="F150" s="1079"/>
      <c r="G150" s="325"/>
      <c r="H150" s="325"/>
      <c r="I150" s="325"/>
      <c r="J150" s="325"/>
      <c r="K150" s="325"/>
      <c r="L150" s="325"/>
      <c r="M150" s="325"/>
      <c r="N150" s="325"/>
      <c r="O150" s="325"/>
      <c r="P150" s="325"/>
      <c r="Q150" s="325"/>
    </row>
    <row r="151" spans="1:17" ht="30" customHeight="1">
      <c r="A151" s="1080"/>
      <c r="B151" s="1033"/>
      <c r="C151" s="1033"/>
      <c r="D151" s="1033"/>
      <c r="E151" s="1033"/>
      <c r="F151" s="1081"/>
      <c r="G151" s="325"/>
      <c r="H151" s="325"/>
      <c r="I151" s="325"/>
      <c r="J151" s="325"/>
      <c r="K151" s="325"/>
      <c r="L151" s="325"/>
      <c r="M151" s="325"/>
      <c r="N151" s="325"/>
      <c r="O151" s="325"/>
      <c r="P151" s="325"/>
      <c r="Q151" s="325"/>
    </row>
    <row r="152" spans="1:17" ht="30" customHeight="1">
      <c r="A152" s="1080"/>
      <c r="B152" s="1033"/>
      <c r="C152" s="1033"/>
      <c r="D152" s="1033"/>
      <c r="E152" s="1033"/>
      <c r="F152" s="1081"/>
      <c r="G152" s="325"/>
      <c r="H152" s="325"/>
      <c r="I152" s="325"/>
      <c r="J152" s="325"/>
      <c r="K152" s="325"/>
      <c r="L152" s="325"/>
      <c r="M152" s="325"/>
      <c r="N152" s="325"/>
      <c r="O152" s="325"/>
      <c r="P152" s="325"/>
      <c r="Q152" s="325"/>
    </row>
    <row r="153" spans="1:17" ht="30" customHeight="1">
      <c r="A153" s="1080"/>
      <c r="B153" s="1033"/>
      <c r="C153" s="1033"/>
      <c r="D153" s="1033"/>
      <c r="E153" s="1033"/>
      <c r="F153" s="1081"/>
      <c r="G153" s="325"/>
      <c r="H153" s="325"/>
      <c r="I153" s="325"/>
      <c r="J153" s="325"/>
      <c r="K153" s="325"/>
      <c r="L153" s="325"/>
      <c r="M153" s="325"/>
      <c r="N153" s="325"/>
      <c r="O153" s="325"/>
      <c r="P153" s="325"/>
      <c r="Q153" s="325"/>
    </row>
    <row r="154" spans="1:17" ht="30" customHeight="1">
      <c r="A154" s="1080"/>
      <c r="B154" s="1033"/>
      <c r="C154" s="1033"/>
      <c r="D154" s="1033"/>
      <c r="E154" s="1033"/>
      <c r="F154" s="1081"/>
      <c r="G154" s="325"/>
      <c r="H154" s="325"/>
      <c r="I154" s="325"/>
      <c r="J154" s="325"/>
      <c r="K154" s="325"/>
      <c r="L154" s="325"/>
      <c r="M154" s="325"/>
      <c r="N154" s="325"/>
      <c r="O154" s="325"/>
      <c r="P154" s="325"/>
      <c r="Q154" s="325"/>
    </row>
    <row r="155" spans="1:17" ht="30" customHeight="1">
      <c r="A155" s="1080"/>
      <c r="B155" s="1033"/>
      <c r="C155" s="1033"/>
      <c r="D155" s="1033"/>
      <c r="E155" s="1033"/>
      <c r="F155" s="1081"/>
      <c r="G155" s="325"/>
      <c r="H155" s="325"/>
      <c r="I155" s="325"/>
      <c r="J155" s="325"/>
      <c r="K155" s="325"/>
      <c r="L155" s="325"/>
      <c r="M155" s="325"/>
      <c r="N155" s="325"/>
      <c r="O155" s="325"/>
      <c r="P155" s="325"/>
      <c r="Q155" s="325"/>
    </row>
    <row r="156" spans="1:17" ht="30" customHeight="1" thickBot="1">
      <c r="A156" s="1082"/>
      <c r="B156" s="1083"/>
      <c r="C156" s="1083"/>
      <c r="D156" s="1083"/>
      <c r="E156" s="1083"/>
      <c r="F156" s="108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xlza+fsiVNfsNAl2qwPuuHhYnGkORspCRPvllww8dDMsp1ncqhWfnF7yZms9a+I56focoMlGm8SIgI9hiOWseg==" saltValue="XEEnYt9mL1FllKHjFXbYww==" spinCount="100000" sheet="1" objects="1" scenarios="1"/>
  <protectedRanges>
    <protectedRange sqref="A7:D7 C105:D105 A61:D61" name="Range1_1_1"/>
  </protectedRanges>
  <phoneticPr fontId="0" type="noConversion"/>
  <printOptions horizontalCentered="1"/>
  <pageMargins left="0.2" right="0.2" top="0.25" bottom="0.25" header="0.3" footer="0.3"/>
  <pageSetup scale="34" fitToHeight="0" orientation="portrait" r:id="rId1"/>
  <headerFooter alignWithMargins="0"/>
  <rowBreaks count="2" manualBreakCount="2">
    <brk id="57"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view="pageBreakPreview" zoomScale="90" zoomScaleNormal="70" zoomScaleSheetLayoutView="90" zoomScalePageLayoutView="70" workbookViewId="0">
      <selection activeCell="AC16" sqref="AC16"/>
    </sheetView>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33" t="s">
        <v>11</v>
      </c>
      <c r="C1" s="1133"/>
      <c r="D1" s="1133"/>
      <c r="E1" s="1133"/>
      <c r="F1" s="355"/>
      <c r="G1" s="355"/>
    </row>
    <row r="2" spans="2:7" ht="26.25">
      <c r="B2" s="1133" t="s">
        <v>776</v>
      </c>
      <c r="C2" s="1133"/>
      <c r="D2" s="1133"/>
      <c r="E2" s="1133"/>
      <c r="F2" s="355"/>
      <c r="G2" s="355"/>
    </row>
    <row r="3" spans="2:7" ht="21">
      <c r="B3" s="1119"/>
      <c r="C3" s="1119"/>
      <c r="D3" s="1119"/>
      <c r="E3" s="1119"/>
      <c r="F3" s="355"/>
      <c r="G3" s="355"/>
    </row>
    <row r="4" spans="2:7" ht="21.75" thickBot="1">
      <c r="B4" s="1251"/>
      <c r="C4" s="1251"/>
      <c r="D4" s="1251"/>
      <c r="E4" s="1251"/>
      <c r="F4" s="355"/>
      <c r="G4" s="355"/>
    </row>
    <row r="5" spans="2:7" ht="48" customHeight="1">
      <c r="B5" s="1112" t="s">
        <v>674</v>
      </c>
      <c r="C5" s="1231" t="s">
        <v>675</v>
      </c>
      <c r="D5" s="1232"/>
      <c r="E5" s="1233"/>
    </row>
    <row r="6" spans="2:7">
      <c r="B6" s="1113"/>
      <c r="C6" s="1099" t="s">
        <v>676</v>
      </c>
      <c r="D6" s="946" t="s">
        <v>677</v>
      </c>
      <c r="E6" s="947" t="s">
        <v>678</v>
      </c>
    </row>
    <row r="7" spans="2:7" ht="29.25" customHeight="1">
      <c r="B7" s="1114"/>
      <c r="C7" s="1100"/>
      <c r="D7" s="948">
        <v>-0.1</v>
      </c>
      <c r="E7" s="949">
        <v>0.15</v>
      </c>
    </row>
    <row r="8" spans="2:7" ht="15" customHeight="1">
      <c r="B8" s="950" t="s">
        <v>214</v>
      </c>
      <c r="C8" s="951">
        <v>71.975999999999999</v>
      </c>
      <c r="D8" s="951">
        <v>64.78</v>
      </c>
      <c r="E8" s="952">
        <v>82.78</v>
      </c>
    </row>
    <row r="9" spans="2:7" ht="15" customHeight="1">
      <c r="B9" s="953" t="s">
        <v>679</v>
      </c>
      <c r="C9" s="954">
        <v>3.6</v>
      </c>
      <c r="D9" s="954">
        <v>3.24</v>
      </c>
      <c r="E9" s="955">
        <v>4.1399999999999997</v>
      </c>
    </row>
    <row r="10" spans="2:7" ht="15" customHeight="1">
      <c r="B10" s="953" t="s">
        <v>680</v>
      </c>
      <c r="C10" s="954">
        <v>3.6</v>
      </c>
      <c r="D10" s="954">
        <v>3.24</v>
      </c>
      <c r="E10" s="955">
        <v>4.1399999999999997</v>
      </c>
    </row>
    <row r="11" spans="2:7" ht="15" customHeight="1">
      <c r="B11" s="956" t="s">
        <v>681</v>
      </c>
      <c r="C11" s="954">
        <v>7.2</v>
      </c>
      <c r="D11" s="954">
        <v>6.48</v>
      </c>
      <c r="E11" s="955">
        <v>8.2799999999999994</v>
      </c>
      <c r="F11" s="675"/>
    </row>
    <row r="12" spans="2:7" ht="15" customHeight="1">
      <c r="B12" s="957" t="s">
        <v>682</v>
      </c>
      <c r="C12" s="958"/>
      <c r="D12" s="958"/>
      <c r="E12" s="959"/>
    </row>
    <row r="13" spans="2:7" ht="42.6" customHeight="1">
      <c r="B13" s="1115" t="s">
        <v>683</v>
      </c>
      <c r="C13" s="1228" t="s">
        <v>675</v>
      </c>
      <c r="D13" s="1229"/>
      <c r="E13" s="1230"/>
    </row>
    <row r="14" spans="2:7">
      <c r="B14" s="1113"/>
      <c r="C14" s="1099" t="s">
        <v>676</v>
      </c>
      <c r="D14" s="960" t="s">
        <v>677</v>
      </c>
      <c r="E14" s="961" t="s">
        <v>678</v>
      </c>
    </row>
    <row r="15" spans="2:7">
      <c r="B15" s="1114"/>
      <c r="C15" s="1100"/>
      <c r="D15" s="948">
        <f>D7</f>
        <v>-0.1</v>
      </c>
      <c r="E15" s="949">
        <f>E7</f>
        <v>0.15</v>
      </c>
    </row>
    <row r="16" spans="2:7" ht="15" customHeight="1">
      <c r="B16" s="962" t="s">
        <v>214</v>
      </c>
      <c r="C16" s="954">
        <v>71.975999999999999</v>
      </c>
      <c r="D16" s="954">
        <v>64.78</v>
      </c>
      <c r="E16" s="955">
        <v>82.78</v>
      </c>
    </row>
    <row r="17" spans="2:5" ht="15" customHeight="1">
      <c r="B17" s="962" t="s">
        <v>684</v>
      </c>
      <c r="C17" s="954">
        <v>215.93799999999999</v>
      </c>
      <c r="D17" s="954">
        <v>194.35</v>
      </c>
      <c r="E17" s="955">
        <v>248.33</v>
      </c>
    </row>
    <row r="18" spans="2:5" ht="15" customHeight="1">
      <c r="B18" s="957" t="s">
        <v>685</v>
      </c>
      <c r="C18" s="954">
        <v>14.4</v>
      </c>
      <c r="D18" s="954">
        <v>12.96</v>
      </c>
      <c r="E18" s="955">
        <v>16.559999999999999</v>
      </c>
    </row>
    <row r="19" spans="2:5" ht="15" customHeight="1">
      <c r="B19" s="957" t="s">
        <v>686</v>
      </c>
      <c r="C19" s="954">
        <v>14.4</v>
      </c>
      <c r="D19" s="954">
        <v>12.96</v>
      </c>
      <c r="E19" s="955">
        <v>16.559999999999999</v>
      </c>
    </row>
    <row r="20" spans="2:5" ht="15" customHeight="1">
      <c r="B20" s="963" t="s">
        <v>687</v>
      </c>
      <c r="C20" s="954">
        <v>7.2</v>
      </c>
      <c r="D20" s="954">
        <v>6.48</v>
      </c>
      <c r="E20" s="955">
        <v>8.2799999999999994</v>
      </c>
    </row>
    <row r="21" spans="2:5" ht="15" customHeight="1" thickBot="1">
      <c r="B21" s="964" t="s">
        <v>688</v>
      </c>
      <c r="C21" s="965">
        <v>57.58</v>
      </c>
      <c r="D21" s="965">
        <v>51.83</v>
      </c>
      <c r="E21" s="966">
        <v>66.22</v>
      </c>
    </row>
    <row r="22" spans="2:5" ht="16.5" thickBot="1">
      <c r="B22" s="357"/>
      <c r="C22" s="358"/>
      <c r="D22" s="358"/>
      <c r="E22" s="358"/>
    </row>
    <row r="23" spans="2:5" ht="34.35" customHeight="1">
      <c r="B23" s="1116" t="s">
        <v>689</v>
      </c>
      <c r="C23" s="1234" t="s">
        <v>675</v>
      </c>
      <c r="D23" s="1235"/>
      <c r="E23" s="1236"/>
    </row>
    <row r="24" spans="2:5">
      <c r="B24" s="1117"/>
      <c r="C24" s="1099" t="s">
        <v>676</v>
      </c>
      <c r="D24" s="946" t="s">
        <v>677</v>
      </c>
      <c r="E24" s="967" t="s">
        <v>678</v>
      </c>
    </row>
    <row r="25" spans="2:5">
      <c r="B25" s="1118"/>
      <c r="C25" s="1100"/>
      <c r="D25" s="948">
        <v>0</v>
      </c>
      <c r="E25" s="968">
        <v>0</v>
      </c>
    </row>
    <row r="26" spans="2:5" ht="15" customHeight="1">
      <c r="B26" s="969" t="s">
        <v>214</v>
      </c>
      <c r="C26" s="954">
        <v>91.79</v>
      </c>
      <c r="D26" s="954">
        <f>ROUND(C26*(1+D25),2)</f>
        <v>91.79</v>
      </c>
      <c r="E26" s="970">
        <f>ROUND(C26*(1+E25),2)</f>
        <v>91.79</v>
      </c>
    </row>
    <row r="27" spans="2:5" ht="15" customHeight="1">
      <c r="B27" s="971" t="s">
        <v>679</v>
      </c>
      <c r="C27" s="954">
        <v>4.59</v>
      </c>
      <c r="D27" s="954">
        <v>4.59</v>
      </c>
      <c r="E27" s="970">
        <v>4.59</v>
      </c>
    </row>
    <row r="28" spans="2:5" ht="15" customHeight="1">
      <c r="B28" s="971" t="s">
        <v>680</v>
      </c>
      <c r="C28" s="954">
        <v>4.59</v>
      </c>
      <c r="D28" s="954">
        <v>4.59</v>
      </c>
      <c r="E28" s="970">
        <v>4.59</v>
      </c>
    </row>
    <row r="29" spans="2:5" ht="15" customHeight="1">
      <c r="B29" s="972" t="s">
        <v>681</v>
      </c>
      <c r="C29" s="954">
        <v>9.18</v>
      </c>
      <c r="D29" s="954">
        <v>9.18</v>
      </c>
      <c r="E29" s="970">
        <v>9.18</v>
      </c>
    </row>
    <row r="30" spans="2:5" ht="15" customHeight="1">
      <c r="B30" s="971" t="s">
        <v>690</v>
      </c>
      <c r="C30" s="958"/>
      <c r="D30" s="958"/>
      <c r="E30" s="973"/>
    </row>
    <row r="31" spans="2:5" ht="41.45" customHeight="1">
      <c r="B31" s="1107" t="s">
        <v>691</v>
      </c>
      <c r="C31" s="1228" t="s">
        <v>675</v>
      </c>
      <c r="D31" s="1229"/>
      <c r="E31" s="1237"/>
    </row>
    <row r="32" spans="2:5">
      <c r="B32" s="1108"/>
      <c r="C32" s="1099" t="s">
        <v>676</v>
      </c>
      <c r="D32" s="946" t="s">
        <v>677</v>
      </c>
      <c r="E32" s="967" t="s">
        <v>678</v>
      </c>
    </row>
    <row r="33" spans="2:7">
      <c r="B33" s="1109"/>
      <c r="C33" s="1100"/>
      <c r="D33" s="948">
        <f>D25</f>
        <v>0</v>
      </c>
      <c r="E33" s="968">
        <f>E25</f>
        <v>0</v>
      </c>
    </row>
    <row r="34" spans="2:7" ht="15" customHeight="1">
      <c r="B34" s="969" t="s">
        <v>214</v>
      </c>
      <c r="C34" s="954">
        <v>91.79</v>
      </c>
      <c r="D34" s="954">
        <f>ROUND(C34*(1+D33),2)</f>
        <v>91.79</v>
      </c>
      <c r="E34" s="970">
        <f>ROUND(C34*(1+E33),2)</f>
        <v>91.79</v>
      </c>
    </row>
    <row r="35" spans="2:7" ht="15" customHeight="1">
      <c r="B35" s="969" t="s">
        <v>684</v>
      </c>
      <c r="C35" s="974" t="s">
        <v>692</v>
      </c>
      <c r="D35" s="974" t="s">
        <v>692</v>
      </c>
      <c r="E35" s="975" t="s">
        <v>692</v>
      </c>
    </row>
    <row r="36" spans="2:7" ht="15" customHeight="1">
      <c r="B36" s="971" t="s">
        <v>685</v>
      </c>
      <c r="C36" s="974" t="s">
        <v>692</v>
      </c>
      <c r="D36" s="974" t="s">
        <v>692</v>
      </c>
      <c r="E36" s="975" t="s">
        <v>692</v>
      </c>
    </row>
    <row r="37" spans="2:7" ht="15" customHeight="1">
      <c r="B37" s="971" t="s">
        <v>686</v>
      </c>
      <c r="C37" s="974" t="s">
        <v>692</v>
      </c>
      <c r="D37" s="974" t="s">
        <v>692</v>
      </c>
      <c r="E37" s="975" t="s">
        <v>692</v>
      </c>
    </row>
    <row r="38" spans="2:7" ht="15" customHeight="1">
      <c r="B38" s="972" t="s">
        <v>687</v>
      </c>
      <c r="C38" s="954">
        <f>C29</f>
        <v>9.18</v>
      </c>
      <c r="D38" s="954">
        <f>D29</f>
        <v>9.18</v>
      </c>
      <c r="E38" s="970">
        <f>E29</f>
        <v>9.18</v>
      </c>
    </row>
    <row r="39" spans="2:7" ht="15" customHeight="1" thickBot="1">
      <c r="B39" s="976" t="s">
        <v>688</v>
      </c>
      <c r="C39" s="977" t="s">
        <v>692</v>
      </c>
      <c r="D39" s="977" t="s">
        <v>692</v>
      </c>
      <c r="E39" s="978" t="s">
        <v>692</v>
      </c>
    </row>
    <row r="40" spans="2:7">
      <c r="B40" s="357"/>
      <c r="C40" s="359"/>
      <c r="D40" s="359"/>
      <c r="E40" s="359"/>
    </row>
    <row r="41" spans="2:7">
      <c r="B41" s="360" t="s">
        <v>693</v>
      </c>
      <c r="C41" s="361"/>
      <c r="D41" s="361"/>
      <c r="E41" s="361"/>
    </row>
    <row r="42" spans="2:7" ht="48" customHeight="1">
      <c r="B42" s="1110" t="s">
        <v>694</v>
      </c>
      <c r="C42" s="1110"/>
      <c r="D42" s="1110"/>
      <c r="E42" s="1110"/>
    </row>
    <row r="43" spans="2:7">
      <c r="B43" s="1110"/>
      <c r="C43" s="1110"/>
      <c r="D43" s="1110"/>
      <c r="E43" s="1110"/>
    </row>
    <row r="44" spans="2:7">
      <c r="B44" s="362"/>
      <c r="C44" s="362"/>
      <c r="D44" s="362"/>
      <c r="E44" s="362"/>
    </row>
    <row r="45" spans="2:7">
      <c r="B45" s="363" t="s">
        <v>695</v>
      </c>
      <c r="C45" s="364"/>
      <c r="D45" s="364"/>
      <c r="E45" s="364"/>
    </row>
    <row r="46" spans="2:7">
      <c r="B46" s="365" t="str">
        <f>"the maximum tuition rate.  Maximum credit tuition rate = "&amp;TEXT(E16,"$0.00")</f>
        <v>the maximum tuition rate.  Maximum credit tuition rate = $82.78</v>
      </c>
      <c r="C46" s="1162"/>
      <c r="D46" s="363"/>
      <c r="E46" s="363"/>
    </row>
    <row r="47" spans="2:7">
      <c r="B47" s="365" t="s">
        <v>696</v>
      </c>
      <c r="D47" s="363"/>
      <c r="E47" s="363"/>
      <c r="G47" s="1163"/>
    </row>
    <row r="48" spans="2:7">
      <c r="D48" s="363"/>
      <c r="E48" s="363"/>
    </row>
    <row r="49" spans="2:5" ht="15" customHeight="1">
      <c r="B49" s="1110"/>
      <c r="C49" s="1110"/>
      <c r="D49" s="1110"/>
      <c r="E49" s="1110"/>
    </row>
    <row r="50" spans="2:5">
      <c r="B50" s="1110"/>
      <c r="C50" s="1110"/>
      <c r="D50" s="1110"/>
      <c r="E50" s="1110"/>
    </row>
    <row r="51" spans="2:5">
      <c r="B51" s="1110"/>
      <c r="C51" s="1110"/>
      <c r="D51" s="1110"/>
      <c r="E51" s="1110"/>
    </row>
    <row r="52" spans="2:5" ht="21">
      <c r="B52" s="1119" t="str">
        <f>B1</f>
        <v>THE FLORIDA COLLEGE SYSTEM</v>
      </c>
      <c r="C52" s="1119"/>
      <c r="D52" s="1119"/>
      <c r="E52" s="1119"/>
    </row>
    <row r="53" spans="2:5" ht="21">
      <c r="B53" s="1119" t="str">
        <f>B2&amp;" , cont."</f>
        <v>FALL 2021-22 TUITION INCREASED BY 0% , cont.</v>
      </c>
      <c r="C53" s="1119"/>
      <c r="D53" s="1119"/>
      <c r="E53" s="1119"/>
    </row>
    <row r="54" spans="2:5" ht="21">
      <c r="B54" s="1119"/>
      <c r="C54" s="1119"/>
      <c r="D54" s="1119"/>
      <c r="E54" s="1119"/>
    </row>
    <row r="55" spans="2:5" ht="16.5" thickBot="1">
      <c r="B55" s="357"/>
      <c r="C55" s="359"/>
      <c r="D55" s="359"/>
      <c r="E55" s="359"/>
    </row>
    <row r="56" spans="2:5" ht="33" customHeight="1">
      <c r="B56" s="1102" t="s">
        <v>697</v>
      </c>
      <c r="C56" s="1234" t="s">
        <v>675</v>
      </c>
      <c r="D56" s="1235"/>
      <c r="E56" s="1236"/>
    </row>
    <row r="57" spans="2:5">
      <c r="B57" s="1103"/>
      <c r="C57" s="1099" t="s">
        <v>676</v>
      </c>
      <c r="D57" s="946" t="s">
        <v>677</v>
      </c>
      <c r="E57" s="967" t="s">
        <v>678</v>
      </c>
    </row>
    <row r="58" spans="2:5">
      <c r="B58" s="1104"/>
      <c r="C58" s="1100"/>
      <c r="D58" s="948">
        <v>-0.05</v>
      </c>
      <c r="E58" s="968">
        <v>0.05</v>
      </c>
    </row>
    <row r="59" spans="2:5" ht="15" customHeight="1">
      <c r="B59" s="969" t="s">
        <v>214</v>
      </c>
      <c r="C59" s="954">
        <v>69.900000000000006</v>
      </c>
      <c r="D59" s="954">
        <f>ROUND(C59*(1+D58),2)</f>
        <v>66.41</v>
      </c>
      <c r="E59" s="970">
        <f>ROUND(C59*(1+E58),2)</f>
        <v>73.400000000000006</v>
      </c>
    </row>
    <row r="60" spans="2:5" ht="15" customHeight="1">
      <c r="B60" s="971" t="s">
        <v>698</v>
      </c>
      <c r="C60" s="954">
        <v>6.99</v>
      </c>
      <c r="D60" s="979">
        <f>ROUND(D59*'DISCRETIONARY FEE PERCENTAGES'!$B$6,2)</f>
        <v>6.64</v>
      </c>
      <c r="E60" s="970">
        <f>ROUND(E59*'DISCRETIONARY FEE PERCENTAGES'!$B$6,2)</f>
        <v>7.34</v>
      </c>
    </row>
    <row r="61" spans="2:5" ht="15" customHeight="1">
      <c r="B61" s="971" t="s">
        <v>680</v>
      </c>
      <c r="C61" s="954">
        <v>3.5</v>
      </c>
      <c r="D61" s="979">
        <f>ROUND(D59*'DISCRETIONARY FEE PERCENTAGES'!$B$25,2)</f>
        <v>3.32</v>
      </c>
      <c r="E61" s="970">
        <f>ROUND(E59*'DISCRETIONARY FEE PERCENTAGES'!$B$25,2)</f>
        <v>3.67</v>
      </c>
    </row>
    <row r="62" spans="2:5" ht="15" customHeight="1">
      <c r="B62" s="971" t="s">
        <v>699</v>
      </c>
      <c r="C62" s="954">
        <v>3.5</v>
      </c>
      <c r="D62" s="979">
        <f>ROUND(D59*'DISCRETIONARY FEE PERCENTAGES'!$B$19,2)</f>
        <v>3.32</v>
      </c>
      <c r="E62" s="970">
        <f>ROUND(E59*'DISCRETIONARY FEE PERCENTAGES'!$B$19,2)</f>
        <v>3.67</v>
      </c>
    </row>
    <row r="63" spans="2:5" ht="33" customHeight="1">
      <c r="B63" s="1105" t="s">
        <v>700</v>
      </c>
      <c r="C63" s="1228" t="s">
        <v>675</v>
      </c>
      <c r="D63" s="1229"/>
      <c r="E63" s="1237"/>
    </row>
    <row r="64" spans="2:5">
      <c r="B64" s="1103"/>
      <c r="C64" s="1099" t="s">
        <v>676</v>
      </c>
      <c r="D64" s="946" t="s">
        <v>677</v>
      </c>
      <c r="E64" s="967" t="s">
        <v>678</v>
      </c>
    </row>
    <row r="65" spans="2:16">
      <c r="B65" s="1104"/>
      <c r="C65" s="1100"/>
      <c r="D65" s="948">
        <f>D58</f>
        <v>-0.05</v>
      </c>
      <c r="E65" s="968">
        <f>E58</f>
        <v>0.05</v>
      </c>
    </row>
    <row r="66" spans="2:16" ht="15" customHeight="1">
      <c r="B66" s="969" t="s">
        <v>214</v>
      </c>
      <c r="C66" s="954">
        <v>69.900000000000006</v>
      </c>
      <c r="D66" s="954">
        <f>ROUND(C66*(1+D65),2)</f>
        <v>66.41</v>
      </c>
      <c r="E66" s="970">
        <f>ROUND(C66*(1+E65),2)</f>
        <v>73.400000000000006</v>
      </c>
    </row>
    <row r="67" spans="2:16" ht="15" customHeight="1">
      <c r="B67" s="969" t="s">
        <v>684</v>
      </c>
      <c r="C67" s="954">
        <v>209.70000000000002</v>
      </c>
      <c r="D67" s="954">
        <f>ROUND(C67*(1+D65),2)</f>
        <v>199.22</v>
      </c>
      <c r="E67" s="970">
        <f>ROUND(C67*(1+E65),2)</f>
        <v>220.19</v>
      </c>
    </row>
    <row r="68" spans="2:16" ht="15" customHeight="1">
      <c r="B68" s="971" t="s">
        <v>701</v>
      </c>
      <c r="C68" s="954">
        <v>27.96</v>
      </c>
      <c r="D68" s="979">
        <f>ROUND((D66+D67)*'DISCRETIONARY FEE PERCENTAGES'!$B$10,2)</f>
        <v>26.56</v>
      </c>
      <c r="E68" s="970">
        <f>ROUND((E66+E67)*'DISCRETIONARY FEE PERCENTAGES'!$B$10,2)</f>
        <v>29.36</v>
      </c>
    </row>
    <row r="69" spans="2:16" ht="15" customHeight="1">
      <c r="B69" s="971" t="s">
        <v>686</v>
      </c>
      <c r="C69" s="954">
        <v>13.98</v>
      </c>
      <c r="D69" s="979">
        <f>ROUND((D66+D67)*'DISCRETIONARY FEE PERCENTAGES'!$B$28,2)</f>
        <v>13.28</v>
      </c>
      <c r="E69" s="970">
        <f>ROUND((E66+E67)*'DISCRETIONARY FEE PERCENTAGES'!$B$28,2)</f>
        <v>14.68</v>
      </c>
    </row>
    <row r="70" spans="2:16" ht="15" customHeight="1" thickBot="1">
      <c r="B70" s="976" t="s">
        <v>702</v>
      </c>
      <c r="C70" s="980">
        <v>13.98</v>
      </c>
      <c r="D70" s="981">
        <f>ROUND((D66+D67)*'DISCRETIONARY FEE PERCENTAGES'!$B$22,2)</f>
        <v>13.28</v>
      </c>
      <c r="E70" s="982">
        <f>ROUND((E66+E67)*'DISCRETIONARY FEE PERCENTAGES'!$B$22,2)</f>
        <v>14.68</v>
      </c>
    </row>
    <row r="71" spans="2:16" ht="16.5" thickBot="1">
      <c r="B71" s="357"/>
      <c r="C71" s="366"/>
      <c r="D71" s="366"/>
      <c r="E71" s="366"/>
    </row>
    <row r="72" spans="2:16" ht="32.25" customHeight="1">
      <c r="B72" s="1096" t="s">
        <v>703</v>
      </c>
      <c r="C72" s="1234" t="s">
        <v>704</v>
      </c>
      <c r="D72" s="1235"/>
      <c r="E72" s="1236"/>
    </row>
    <row r="73" spans="2:16">
      <c r="B73" s="1097"/>
      <c r="C73" s="1099" t="s">
        <v>676</v>
      </c>
      <c r="D73" s="946" t="s">
        <v>677</v>
      </c>
      <c r="E73" s="967" t="s">
        <v>678</v>
      </c>
    </row>
    <row r="74" spans="2:16">
      <c r="B74" s="1098"/>
      <c r="C74" s="1100"/>
      <c r="D74" s="948">
        <v>-0.05</v>
      </c>
      <c r="E74" s="968">
        <v>0.05</v>
      </c>
    </row>
    <row r="75" spans="2:16" ht="15" customHeight="1">
      <c r="B75" s="969" t="s">
        <v>705</v>
      </c>
      <c r="C75" s="954">
        <v>30</v>
      </c>
      <c r="D75" s="954">
        <f>ROUND(C75*(1+D74),2)</f>
        <v>28.5</v>
      </c>
      <c r="E75" s="970">
        <f>ROUND(C75*(1+E74),2)</f>
        <v>31.5</v>
      </c>
    </row>
    <row r="76" spans="2:16" ht="15" customHeight="1">
      <c r="B76" s="969"/>
      <c r="C76" s="954"/>
      <c r="D76" s="954"/>
      <c r="E76" s="970"/>
      <c r="F76" s="1111"/>
      <c r="G76" s="1111"/>
      <c r="H76" s="1111"/>
      <c r="I76" s="1111"/>
      <c r="J76" s="1111"/>
      <c r="K76" s="1111"/>
      <c r="L76" s="1111"/>
      <c r="M76" s="1111"/>
      <c r="N76" s="1111"/>
      <c r="O76" s="1111"/>
      <c r="P76" s="1111"/>
    </row>
    <row r="77" spans="2:16" ht="15" customHeight="1">
      <c r="B77" s="969" t="s">
        <v>706</v>
      </c>
      <c r="C77" s="954">
        <v>45</v>
      </c>
      <c r="D77" s="954">
        <f>ROUND(C77*(1+D74),2)</f>
        <v>42.75</v>
      </c>
      <c r="E77" s="983">
        <f>ROUND(C77*(1+E74),2)</f>
        <v>47.25</v>
      </c>
      <c r="F77" s="367"/>
      <c r="G77" s="367"/>
      <c r="H77" s="367"/>
      <c r="I77" s="367"/>
      <c r="J77" s="367"/>
      <c r="K77" s="367"/>
      <c r="L77" s="367"/>
      <c r="M77" s="367"/>
      <c r="N77" s="367"/>
      <c r="O77" s="367"/>
      <c r="P77" s="367"/>
    </row>
    <row r="78" spans="2:16" ht="15" customHeight="1">
      <c r="B78" s="368"/>
      <c r="C78" s="366"/>
      <c r="D78" s="366"/>
      <c r="E78" s="366"/>
      <c r="F78" s="1111"/>
      <c r="G78" s="1111"/>
      <c r="H78" s="1111"/>
      <c r="I78" s="1111"/>
      <c r="J78" s="1111"/>
      <c r="K78" s="1111"/>
      <c r="L78" s="1111"/>
      <c r="M78" s="1111"/>
      <c r="N78" s="1111"/>
      <c r="O78" s="1111"/>
      <c r="P78" s="1111"/>
    </row>
    <row r="79" spans="2:16" ht="15" customHeight="1">
      <c r="B79" s="360" t="s">
        <v>707</v>
      </c>
      <c r="C79" s="361"/>
      <c r="D79" s="361"/>
      <c r="E79" s="361"/>
    </row>
    <row r="80" spans="2:16" ht="15" customHeight="1">
      <c r="B80" s="360"/>
      <c r="C80" s="361"/>
      <c r="D80" s="361"/>
      <c r="E80" s="361"/>
    </row>
    <row r="81" spans="2:5" ht="30.6" customHeight="1">
      <c r="B81" s="1106" t="s">
        <v>708</v>
      </c>
      <c r="C81" s="1106"/>
      <c r="D81" s="1106"/>
      <c r="E81" s="1106"/>
    </row>
    <row r="83" spans="2:5" ht="15" customHeight="1"/>
    <row r="85" spans="2:5">
      <c r="B85" s="363"/>
      <c r="C85" s="1164"/>
      <c r="D85" s="1164"/>
      <c r="E85" s="1164"/>
    </row>
    <row r="86" spans="2:5">
      <c r="B86" s="363"/>
      <c r="C86" s="364"/>
      <c r="D86" s="364"/>
      <c r="E86" s="364"/>
    </row>
    <row r="87" spans="2:5">
      <c r="B87" s="363"/>
      <c r="C87" s="1162"/>
      <c r="D87" s="363"/>
      <c r="E87" s="363"/>
    </row>
    <row r="88" spans="2:5">
      <c r="B88" s="363"/>
      <c r="C88" s="1162"/>
      <c r="D88" s="363"/>
      <c r="E88" s="363"/>
    </row>
    <row r="89" spans="2:5">
      <c r="B89" s="363"/>
      <c r="C89" s="363"/>
      <c r="D89" s="363"/>
      <c r="E89" s="363"/>
    </row>
    <row r="90" spans="2:5">
      <c r="B90" s="363"/>
      <c r="C90" s="363"/>
      <c r="D90" s="363"/>
      <c r="E90" s="363"/>
    </row>
    <row r="91" spans="2:5">
      <c r="B91" s="1101"/>
      <c r="C91" s="1101"/>
      <c r="D91" s="1101"/>
      <c r="E91" s="1101"/>
    </row>
    <row r="92" spans="2:5">
      <c r="B92" s="1101"/>
      <c r="C92" s="1101"/>
      <c r="D92" s="1101"/>
      <c r="E92" s="110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view="pageBreakPreview" colorId="22" zoomScale="80" zoomScaleNormal="70" zoomScaleSheetLayoutView="80" zoomScalePageLayoutView="70" workbookViewId="0">
      <selection activeCell="AC16" sqref="AC16"/>
    </sheetView>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33" t="s">
        <v>11</v>
      </c>
      <c r="B1" s="1133"/>
      <c r="C1" s="1133"/>
    </row>
    <row r="2" spans="1:21" s="103" customFormat="1" ht="21" customHeight="1" thickBot="1">
      <c r="A2" s="1133" t="s">
        <v>777</v>
      </c>
      <c r="B2" s="1133"/>
      <c r="C2" s="1133"/>
      <c r="D2" s="104"/>
      <c r="E2" s="104"/>
      <c r="F2" s="104"/>
      <c r="G2" s="104"/>
      <c r="H2" s="104"/>
      <c r="I2" s="104"/>
      <c r="J2" s="104"/>
      <c r="K2" s="104"/>
      <c r="L2" s="104"/>
      <c r="M2" s="104"/>
      <c r="N2" s="104"/>
      <c r="O2" s="104"/>
      <c r="P2" s="104"/>
      <c r="Q2" s="104"/>
      <c r="R2" s="104"/>
      <c r="S2" s="104"/>
      <c r="T2" s="104"/>
      <c r="U2" s="104"/>
    </row>
    <row r="3" spans="1:21" s="103" customFormat="1" ht="26.45" customHeight="1">
      <c r="A3" s="1250" t="s">
        <v>709</v>
      </c>
      <c r="B3" s="1238"/>
      <c r="C3" s="1239"/>
      <c r="D3" s="104"/>
      <c r="E3" s="104"/>
      <c r="F3" s="104"/>
      <c r="G3" s="104"/>
      <c r="H3" s="104"/>
      <c r="I3" s="104"/>
      <c r="J3" s="104"/>
      <c r="K3" s="104"/>
      <c r="L3" s="104"/>
      <c r="M3" s="104"/>
      <c r="N3" s="104"/>
      <c r="O3" s="104"/>
      <c r="P3" s="104"/>
      <c r="Q3" s="104"/>
      <c r="R3" s="104"/>
      <c r="S3" s="104"/>
      <c r="T3" s="104"/>
      <c r="U3" s="104"/>
    </row>
    <row r="4" spans="1:21" s="103" customFormat="1" ht="42">
      <c r="A4" s="984" t="s">
        <v>710</v>
      </c>
      <c r="B4" s="985">
        <v>7.0000000000000007E-2</v>
      </c>
      <c r="C4" s="986" t="s">
        <v>711</v>
      </c>
      <c r="D4" s="104"/>
      <c r="E4" s="104"/>
      <c r="F4" s="104"/>
      <c r="G4" s="104"/>
      <c r="H4" s="104"/>
      <c r="I4" s="104"/>
      <c r="J4" s="104"/>
      <c r="K4" s="104"/>
      <c r="L4" s="104"/>
      <c r="M4" s="104"/>
      <c r="N4" s="104"/>
      <c r="O4" s="104"/>
      <c r="P4" s="104"/>
      <c r="Q4" s="104"/>
      <c r="R4" s="104"/>
      <c r="S4" s="104"/>
      <c r="T4" s="104"/>
      <c r="U4" s="104"/>
    </row>
    <row r="5" spans="1:21" s="103" customFormat="1" ht="42">
      <c r="A5" s="984" t="s">
        <v>712</v>
      </c>
      <c r="B5" s="985">
        <v>0.05</v>
      </c>
      <c r="C5" s="986" t="s">
        <v>711</v>
      </c>
      <c r="D5" s="104"/>
      <c r="E5" s="104"/>
      <c r="F5" s="104"/>
      <c r="G5" s="104"/>
      <c r="H5" s="104"/>
      <c r="I5" s="104"/>
      <c r="J5" s="104"/>
      <c r="K5" s="104"/>
      <c r="L5" s="104"/>
      <c r="M5" s="104"/>
      <c r="N5" s="104"/>
      <c r="O5" s="104"/>
      <c r="P5" s="104"/>
      <c r="Q5" s="104"/>
      <c r="R5" s="104"/>
      <c r="S5" s="104"/>
      <c r="T5" s="104"/>
      <c r="U5" s="104"/>
    </row>
    <row r="6" spans="1:21" s="103" customFormat="1" ht="30.95" customHeight="1">
      <c r="A6" s="987" t="s">
        <v>713</v>
      </c>
      <c r="B6" s="988">
        <v>0.1</v>
      </c>
      <c r="C6" s="989" t="s">
        <v>711</v>
      </c>
      <c r="D6" s="104"/>
      <c r="E6" s="104"/>
      <c r="F6" s="104"/>
      <c r="G6" s="104"/>
      <c r="H6" s="104"/>
      <c r="I6" s="104"/>
      <c r="J6" s="104"/>
      <c r="K6" s="104"/>
      <c r="L6" s="104"/>
      <c r="M6" s="104"/>
      <c r="N6" s="104"/>
      <c r="O6" s="104"/>
      <c r="P6" s="104"/>
      <c r="Q6" s="104"/>
      <c r="R6" s="104"/>
      <c r="S6" s="104"/>
      <c r="T6" s="104"/>
      <c r="U6" s="104"/>
    </row>
    <row r="7" spans="1:21" s="103" customFormat="1" ht="26.45" customHeight="1">
      <c r="A7" s="1244" t="s">
        <v>714</v>
      </c>
      <c r="B7" s="1245"/>
      <c r="C7" s="1246"/>
      <c r="D7" s="104"/>
      <c r="E7" s="104"/>
      <c r="F7" s="104"/>
      <c r="G7" s="104"/>
      <c r="H7" s="104"/>
      <c r="I7" s="104"/>
      <c r="J7" s="104"/>
      <c r="K7" s="104"/>
      <c r="L7" s="104"/>
      <c r="M7" s="104"/>
      <c r="N7" s="104"/>
      <c r="O7" s="104"/>
      <c r="P7" s="104"/>
      <c r="Q7" s="104"/>
      <c r="R7" s="104"/>
      <c r="S7" s="104"/>
      <c r="T7" s="104"/>
      <c r="U7" s="104"/>
    </row>
    <row r="8" spans="1:21" s="103" customFormat="1" ht="42">
      <c r="A8" s="984" t="s">
        <v>710</v>
      </c>
      <c r="B8" s="985">
        <v>7.0000000000000007E-2</v>
      </c>
      <c r="C8" s="986" t="s">
        <v>715</v>
      </c>
      <c r="D8" s="104"/>
      <c r="E8" s="104"/>
      <c r="F8" s="104"/>
      <c r="G8" s="104"/>
      <c r="H8" s="104"/>
      <c r="I8" s="104"/>
      <c r="J8" s="104"/>
      <c r="K8" s="104"/>
      <c r="L8" s="104"/>
      <c r="M8" s="104"/>
      <c r="N8" s="104"/>
      <c r="O8" s="104"/>
      <c r="P8" s="104"/>
      <c r="Q8" s="104"/>
      <c r="R8" s="104"/>
      <c r="S8" s="104"/>
      <c r="T8" s="104"/>
      <c r="U8" s="104"/>
    </row>
    <row r="9" spans="1:21" s="103" customFormat="1" ht="42">
      <c r="A9" s="984" t="s">
        <v>712</v>
      </c>
      <c r="B9" s="985">
        <v>0.05</v>
      </c>
      <c r="C9" s="986" t="s">
        <v>715</v>
      </c>
      <c r="D9" s="104"/>
      <c r="E9" s="104"/>
      <c r="F9" s="104"/>
      <c r="G9" s="104"/>
      <c r="H9" s="104"/>
      <c r="I9" s="104"/>
      <c r="J9" s="104"/>
      <c r="K9" s="104"/>
      <c r="L9" s="104"/>
      <c r="M9" s="104"/>
      <c r="N9" s="104"/>
      <c r="O9" s="104"/>
      <c r="P9" s="104"/>
      <c r="Q9" s="104"/>
      <c r="R9" s="104"/>
      <c r="S9" s="104"/>
      <c r="T9" s="104"/>
      <c r="U9" s="104"/>
    </row>
    <row r="10" spans="1:21" s="103" customFormat="1" ht="29.1" customHeight="1">
      <c r="A10" s="987" t="str">
        <f>A6</f>
        <v>CCATD</v>
      </c>
      <c r="B10" s="988">
        <v>0.1</v>
      </c>
      <c r="C10" s="989" t="s">
        <v>715</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44" t="s">
        <v>716</v>
      </c>
      <c r="B11" s="1245"/>
      <c r="C11" s="1246"/>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4" t="s">
        <v>717</v>
      </c>
      <c r="B12" s="985">
        <v>0.1</v>
      </c>
      <c r="C12" s="986" t="s">
        <v>718</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87" t="str">
        <f>A6</f>
        <v>CCATD</v>
      </c>
      <c r="B13" s="988">
        <v>0</v>
      </c>
      <c r="C13" s="989" t="s">
        <v>719</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47" t="s">
        <v>720</v>
      </c>
      <c r="B14" s="1248"/>
      <c r="C14" s="1249"/>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4" t="s">
        <v>717</v>
      </c>
      <c r="B15" s="985">
        <v>0.1</v>
      </c>
      <c r="C15" s="986" t="s">
        <v>721</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87" t="str">
        <f>A6</f>
        <v>CCATD</v>
      </c>
      <c r="B16" s="988">
        <v>0</v>
      </c>
      <c r="C16" s="989" t="s">
        <v>719</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44" t="s">
        <v>722</v>
      </c>
      <c r="B17" s="1245"/>
      <c r="C17" s="1246"/>
      <c r="D17" s="104"/>
      <c r="E17" s="104"/>
      <c r="F17" s="104"/>
      <c r="G17" s="104"/>
      <c r="H17" s="104"/>
      <c r="I17" s="104"/>
      <c r="J17" s="104"/>
      <c r="K17" s="104"/>
      <c r="L17" s="104"/>
      <c r="M17" s="104"/>
      <c r="N17" s="104"/>
      <c r="O17" s="104"/>
      <c r="P17" s="104"/>
      <c r="Q17" s="104"/>
      <c r="R17" s="104"/>
      <c r="S17" s="104"/>
      <c r="T17" s="104"/>
      <c r="U17" s="104"/>
    </row>
    <row r="18" spans="1:21" s="103" customFormat="1" ht="42">
      <c r="A18" s="990" t="s">
        <v>717</v>
      </c>
      <c r="B18" s="985">
        <v>0.2</v>
      </c>
      <c r="C18" s="991" t="s">
        <v>723</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87" t="str">
        <f>A6</f>
        <v>CCATD</v>
      </c>
      <c r="B19" s="988">
        <v>0.05</v>
      </c>
      <c r="C19" s="989" t="s">
        <v>724</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44" t="s">
        <v>725</v>
      </c>
      <c r="B20" s="1245"/>
      <c r="C20" s="1246"/>
      <c r="D20" s="104"/>
      <c r="E20" s="104"/>
      <c r="F20" s="104"/>
      <c r="G20" s="104"/>
      <c r="H20" s="104"/>
      <c r="I20" s="104"/>
      <c r="J20" s="104"/>
      <c r="K20" s="104"/>
      <c r="L20" s="104"/>
      <c r="M20" s="104"/>
      <c r="N20" s="104"/>
      <c r="O20" s="104"/>
      <c r="P20" s="104"/>
      <c r="Q20" s="104"/>
      <c r="R20" s="104"/>
      <c r="S20" s="104"/>
      <c r="T20" s="104"/>
      <c r="U20" s="104"/>
    </row>
    <row r="21" spans="1:21" s="103" customFormat="1" ht="21">
      <c r="A21" s="990" t="s">
        <v>717</v>
      </c>
      <c r="B21" s="985">
        <v>0.2</v>
      </c>
      <c r="C21" s="986" t="s">
        <v>715</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87" t="str">
        <f>A6</f>
        <v>CCATD</v>
      </c>
      <c r="B22" s="988">
        <v>0.05</v>
      </c>
      <c r="C22" s="989" t="s">
        <v>715</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44" t="s">
        <v>726</v>
      </c>
      <c r="B23" s="1245"/>
      <c r="C23" s="1246"/>
      <c r="D23" s="104"/>
      <c r="E23" s="104"/>
      <c r="F23" s="104"/>
      <c r="G23" s="104"/>
      <c r="H23" s="104"/>
      <c r="I23" s="104"/>
      <c r="J23" s="104"/>
      <c r="K23" s="104"/>
      <c r="L23" s="104"/>
      <c r="M23" s="104"/>
      <c r="N23" s="104"/>
      <c r="O23" s="104"/>
      <c r="P23" s="104"/>
      <c r="Q23" s="104"/>
      <c r="R23" s="104"/>
      <c r="S23" s="104"/>
      <c r="T23" s="104"/>
      <c r="U23" s="104"/>
    </row>
    <row r="24" spans="1:21" s="103" customFormat="1" ht="21">
      <c r="A24" s="990" t="s">
        <v>717</v>
      </c>
      <c r="B24" s="985">
        <v>0.05</v>
      </c>
      <c r="C24" s="986" t="s">
        <v>718</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87" t="str">
        <f>A6</f>
        <v>CCATD</v>
      </c>
      <c r="B25" s="988">
        <v>0.05</v>
      </c>
      <c r="C25" s="992" t="s">
        <v>718</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44" t="s">
        <v>727</v>
      </c>
      <c r="B26" s="1245"/>
      <c r="C26" s="1246"/>
      <c r="D26" s="104"/>
      <c r="E26" s="104"/>
      <c r="F26" s="104"/>
      <c r="G26" s="104"/>
      <c r="H26" s="104"/>
      <c r="I26" s="104"/>
      <c r="J26" s="104"/>
      <c r="K26" s="104"/>
      <c r="L26" s="104"/>
      <c r="M26" s="104"/>
      <c r="N26" s="104"/>
      <c r="O26" s="104"/>
      <c r="P26" s="104"/>
      <c r="Q26" s="104"/>
      <c r="R26" s="104"/>
      <c r="S26" s="104"/>
      <c r="T26" s="104"/>
      <c r="U26" s="104"/>
    </row>
    <row r="27" spans="1:21" s="103" customFormat="1" ht="21">
      <c r="A27" s="990" t="s">
        <v>717</v>
      </c>
      <c r="B27" s="985">
        <v>0.05</v>
      </c>
      <c r="C27" s="986" t="s">
        <v>715</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3" t="str">
        <f>A6</f>
        <v>CCATD</v>
      </c>
      <c r="B28" s="994">
        <v>0.05</v>
      </c>
      <c r="C28" s="995" t="s">
        <v>715</v>
      </c>
      <c r="D28" s="104"/>
      <c r="E28" s="104"/>
      <c r="F28" s="104"/>
      <c r="G28" s="104"/>
      <c r="H28" s="104"/>
      <c r="I28" s="104"/>
      <c r="J28" s="104"/>
      <c r="K28" s="104"/>
      <c r="L28" s="104"/>
      <c r="M28" s="104"/>
      <c r="N28" s="104"/>
      <c r="O28" s="104"/>
      <c r="P28" s="104"/>
      <c r="Q28" s="104"/>
      <c r="R28" s="104"/>
      <c r="S28" s="104"/>
      <c r="T28" s="104"/>
      <c r="U28" s="104"/>
    </row>
    <row r="30" spans="1:21" ht="61.35" customHeight="1">
      <c r="A30" s="1240" t="s">
        <v>728</v>
      </c>
      <c r="B30" s="1240"/>
      <c r="C30" s="1240"/>
    </row>
    <row r="31" spans="1:21" ht="14.45" customHeight="1">
      <c r="A31" s="1241"/>
      <c r="B31" s="1241"/>
      <c r="C31" s="1241"/>
    </row>
    <row r="32" spans="1:21" ht="31.35" customHeight="1">
      <c r="A32" s="1240" t="s">
        <v>729</v>
      </c>
      <c r="B32" s="1240"/>
      <c r="C32" s="1240"/>
    </row>
    <row r="33" spans="1:3" ht="14.45" customHeight="1">
      <c r="A33" s="1241"/>
      <c r="B33" s="1241"/>
      <c r="C33" s="1241"/>
    </row>
    <row r="34" spans="1:3" ht="30" customHeight="1">
      <c r="A34" s="1240" t="s">
        <v>730</v>
      </c>
      <c r="B34" s="1240"/>
      <c r="C34" s="1240"/>
    </row>
    <row r="35" spans="1:3" ht="14.45" customHeight="1">
      <c r="A35" s="1241"/>
      <c r="B35" s="1241"/>
      <c r="C35" s="1241"/>
    </row>
    <row r="36" spans="1:3" ht="15" customHeight="1">
      <c r="A36" s="1242" t="s">
        <v>731</v>
      </c>
      <c r="B36" s="1241"/>
      <c r="C36" s="1241"/>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1" t="s">
        <v>732</v>
      </c>
    </row>
    <row r="2" spans="1:1">
      <c r="A2" s="761" t="s">
        <v>733</v>
      </c>
    </row>
    <row r="3" spans="1:1">
      <c r="A3" s="761"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election activeCell="D53" sqref="D53"/>
    </sheetView>
  </sheetViews>
  <sheetFormatPr defaultColWidth="8.85546875" defaultRowHeight="12.75"/>
  <cols>
    <col min="1" max="1" width="109" customWidth="1"/>
  </cols>
  <sheetData>
    <row r="1" spans="1:10" ht="22.35" customHeight="1">
      <c r="A1" s="773" t="s">
        <v>11</v>
      </c>
      <c r="B1" s="763"/>
      <c r="C1" s="763"/>
      <c r="D1" s="763"/>
      <c r="E1" s="763"/>
      <c r="F1" s="763"/>
      <c r="G1" s="763"/>
      <c r="H1" s="763"/>
      <c r="I1" s="763"/>
      <c r="J1" s="763"/>
    </row>
    <row r="2" spans="1:10" s="226" customFormat="1" ht="22.35" customHeight="1">
      <c r="A2" s="773" t="s">
        <v>778</v>
      </c>
      <c r="B2" s="763"/>
      <c r="C2" s="763"/>
      <c r="D2" s="763"/>
      <c r="E2" s="763"/>
      <c r="F2" s="763"/>
      <c r="G2" s="763"/>
      <c r="H2" s="763"/>
      <c r="I2" s="763"/>
      <c r="J2" s="763"/>
    </row>
    <row r="3" spans="1:10" s="226" customFormat="1" ht="22.35" customHeight="1">
      <c r="A3" s="773" t="s">
        <v>12</v>
      </c>
      <c r="B3" s="763"/>
      <c r="C3" s="763"/>
      <c r="D3" s="763"/>
      <c r="E3" s="763"/>
      <c r="F3" s="763"/>
      <c r="G3" s="763"/>
      <c r="H3" s="763"/>
      <c r="I3" s="763"/>
      <c r="J3" s="763"/>
    </row>
    <row r="4" spans="1:10" ht="26.45" customHeight="1">
      <c r="A4" s="774" t="s">
        <v>13</v>
      </c>
      <c r="B4" s="775"/>
      <c r="C4" s="775"/>
      <c r="D4" s="775"/>
      <c r="E4" s="775"/>
      <c r="F4" s="775"/>
      <c r="G4" s="775"/>
      <c r="H4" s="775"/>
      <c r="I4" s="775"/>
      <c r="J4" s="775"/>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6048375</xdr:colOff>
                <xdr:row>52</xdr:row>
                <xdr:rowOff>85725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4"/>
  <sheetViews>
    <sheetView showGridLines="0" zoomScale="85" zoomScaleNormal="85" zoomScaleSheetLayoutView="40" zoomScalePageLayoutView="80" workbookViewId="0">
      <selection activeCell="D53" sqref="D53"/>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00" t="s">
        <v>14</v>
      </c>
      <c r="B1" s="1300"/>
      <c r="C1" s="1300"/>
      <c r="D1" s="1300"/>
      <c r="E1" s="18"/>
      <c r="F1" s="19"/>
    </row>
    <row r="2" spans="1:10" ht="33.6" customHeight="1" thickBot="1">
      <c r="A2" s="1307" t="s">
        <v>15</v>
      </c>
      <c r="B2" s="1307"/>
      <c r="C2" s="1307"/>
      <c r="D2" s="1307"/>
      <c r="E2" s="19"/>
    </row>
    <row r="3" spans="1:10" ht="25.35" customHeight="1" thickBot="1">
      <c r="A3" s="77"/>
      <c r="B3" s="78" t="s">
        <v>793</v>
      </c>
      <c r="C3" s="79"/>
      <c r="D3" s="88"/>
      <c r="E3" s="87"/>
      <c r="F3" s="25"/>
    </row>
    <row r="4" spans="1:10" ht="25.35" customHeight="1" thickBot="1">
      <c r="A4" s="77">
        <v>1</v>
      </c>
      <c r="B4" s="64">
        <v>2</v>
      </c>
      <c r="C4" s="64">
        <v>3</v>
      </c>
      <c r="D4" s="64">
        <v>4</v>
      </c>
      <c r="E4" s="68"/>
      <c r="F4" s="25"/>
    </row>
    <row r="5" spans="1:10" ht="44.1" customHeight="1">
      <c r="A5" s="768" t="s">
        <v>16</v>
      </c>
      <c r="B5" s="1278" t="s">
        <v>779</v>
      </c>
      <c r="C5" s="1279"/>
      <c r="D5" s="1280"/>
      <c r="E5" s="731"/>
      <c r="F5" s="22"/>
    </row>
    <row r="6" spans="1:10" ht="89.1" customHeight="1" thickBot="1">
      <c r="A6" s="528" t="s">
        <v>17</v>
      </c>
      <c r="B6" s="76" t="s">
        <v>18</v>
      </c>
      <c r="C6" s="92" t="s">
        <v>19</v>
      </c>
      <c r="D6" s="91" t="s">
        <v>20</v>
      </c>
      <c r="E6" s="25"/>
      <c r="F6" s="22"/>
    </row>
    <row r="7" spans="1:10" ht="25.35" customHeight="1">
      <c r="A7" s="527" t="s">
        <v>21</v>
      </c>
      <c r="B7" s="1169">
        <v>37906780</v>
      </c>
      <c r="C7" s="1170">
        <v>7485794</v>
      </c>
      <c r="D7" s="98">
        <f t="shared" ref="D7:D34" si="0">SUM(B7:C7)</f>
        <v>45392574</v>
      </c>
      <c r="E7" s="561"/>
      <c r="F7" s="562"/>
      <c r="G7" s="59"/>
      <c r="I7" s="59"/>
      <c r="J7" s="59"/>
    </row>
    <row r="8" spans="1:10" ht="25.35" customHeight="1">
      <c r="A8" s="504" t="s">
        <v>22</v>
      </c>
      <c r="B8" s="1171">
        <v>77191852</v>
      </c>
      <c r="C8" s="1172">
        <v>14953668</v>
      </c>
      <c r="D8" s="89">
        <f t="shared" si="0"/>
        <v>92145520</v>
      </c>
      <c r="E8" s="532"/>
      <c r="F8" s="59"/>
      <c r="G8" s="59"/>
      <c r="I8" s="59"/>
      <c r="J8" s="59"/>
    </row>
    <row r="9" spans="1:10" ht="25.35" customHeight="1">
      <c r="A9" s="504" t="s">
        <v>23</v>
      </c>
      <c r="B9" s="1171">
        <v>25137727</v>
      </c>
      <c r="C9" s="1172">
        <v>4147257</v>
      </c>
      <c r="D9" s="89">
        <f t="shared" si="0"/>
        <v>29284984</v>
      </c>
      <c r="E9" s="532"/>
      <c r="F9" s="59"/>
      <c r="G9" s="59"/>
      <c r="I9" s="59"/>
      <c r="J9" s="59"/>
    </row>
    <row r="10" spans="1:10" ht="25.35" customHeight="1">
      <c r="A10" s="504" t="s">
        <v>24</v>
      </c>
      <c r="B10" s="1171">
        <v>10122783</v>
      </c>
      <c r="C10" s="1172">
        <v>2430298</v>
      </c>
      <c r="D10" s="89">
        <f t="shared" si="0"/>
        <v>12553081</v>
      </c>
      <c r="E10" s="532"/>
      <c r="F10" s="59"/>
      <c r="G10" s="59"/>
      <c r="I10" s="59"/>
      <c r="J10" s="59"/>
    </row>
    <row r="11" spans="1:10" ht="25.35" customHeight="1">
      <c r="A11" s="504" t="s">
        <v>25</v>
      </c>
      <c r="B11" s="1171">
        <v>43084116</v>
      </c>
      <c r="C11" s="1172">
        <v>9117159</v>
      </c>
      <c r="D11" s="89">
        <f t="shared" si="0"/>
        <v>52201275</v>
      </c>
      <c r="E11" s="532"/>
      <c r="F11" s="59"/>
      <c r="G11" s="59"/>
      <c r="I11" s="59"/>
      <c r="J11" s="59"/>
    </row>
    <row r="12" spans="1:10" ht="25.35" customHeight="1">
      <c r="A12" s="504" t="s">
        <v>26</v>
      </c>
      <c r="B12" s="1171">
        <v>31271582</v>
      </c>
      <c r="C12" s="1172">
        <v>5649896</v>
      </c>
      <c r="D12" s="89">
        <f t="shared" si="0"/>
        <v>36921478</v>
      </c>
      <c r="E12" s="532"/>
      <c r="F12" s="59"/>
      <c r="G12" s="59"/>
      <c r="I12" s="59"/>
      <c r="J12" s="59"/>
    </row>
    <row r="13" spans="1:10" ht="25.35" customHeight="1">
      <c r="A13" s="504" t="s">
        <v>27</v>
      </c>
      <c r="B13" s="1171">
        <v>65269763</v>
      </c>
      <c r="C13" s="1172">
        <v>13606923</v>
      </c>
      <c r="D13" s="89">
        <f t="shared" si="0"/>
        <v>78876686</v>
      </c>
      <c r="E13" s="532"/>
      <c r="F13" s="59"/>
      <c r="G13" s="59"/>
      <c r="I13" s="59"/>
      <c r="J13" s="59"/>
    </row>
    <row r="14" spans="1:10" ht="25.35" customHeight="1">
      <c r="A14" s="504" t="s">
        <v>28</v>
      </c>
      <c r="B14" s="1171">
        <v>7306183</v>
      </c>
      <c r="C14" s="1172">
        <v>1168674</v>
      </c>
      <c r="D14" s="89">
        <f t="shared" si="0"/>
        <v>8474857</v>
      </c>
      <c r="E14" s="532"/>
      <c r="F14" s="59"/>
      <c r="G14" s="59"/>
      <c r="I14" s="59"/>
      <c r="J14" s="59"/>
    </row>
    <row r="15" spans="1:10" ht="25.35" customHeight="1">
      <c r="A15" s="504" t="s">
        <v>29</v>
      </c>
      <c r="B15" s="1171">
        <v>20724248</v>
      </c>
      <c r="C15" s="1172">
        <v>3791300</v>
      </c>
      <c r="D15" s="89">
        <f t="shared" si="0"/>
        <v>24515548</v>
      </c>
      <c r="E15" s="532"/>
      <c r="F15" s="59"/>
      <c r="G15" s="59"/>
      <c r="I15" s="59"/>
      <c r="J15" s="59"/>
    </row>
    <row r="16" spans="1:10" ht="25.35" customHeight="1">
      <c r="A16" s="504" t="s">
        <v>30</v>
      </c>
      <c r="B16" s="1171">
        <v>61643784</v>
      </c>
      <c r="C16" s="1172">
        <v>9784781</v>
      </c>
      <c r="D16" s="89">
        <f t="shared" si="0"/>
        <v>71428565</v>
      </c>
      <c r="E16" s="532"/>
      <c r="F16" s="59"/>
      <c r="G16" s="59"/>
      <c r="I16" s="59"/>
      <c r="J16" s="59"/>
    </row>
    <row r="17" spans="1:10" ht="25.35" customHeight="1">
      <c r="A17" s="504" t="s">
        <v>31</v>
      </c>
      <c r="B17" s="1171">
        <v>43222200</v>
      </c>
      <c r="C17" s="1172">
        <v>8200771</v>
      </c>
      <c r="D17" s="89">
        <f t="shared" si="0"/>
        <v>51422971</v>
      </c>
      <c r="E17" s="532"/>
      <c r="F17" s="59"/>
      <c r="G17" s="59"/>
      <c r="I17" s="59"/>
      <c r="J17" s="59"/>
    </row>
    <row r="18" spans="1:10" ht="25.35" customHeight="1">
      <c r="A18" s="504" t="s">
        <v>32</v>
      </c>
      <c r="B18" s="1171">
        <v>12343150</v>
      </c>
      <c r="C18" s="1172">
        <v>2397283</v>
      </c>
      <c r="D18" s="89">
        <f t="shared" si="0"/>
        <v>14740433</v>
      </c>
      <c r="E18" s="532"/>
      <c r="F18" s="59"/>
      <c r="G18" s="59"/>
      <c r="I18" s="59"/>
      <c r="J18" s="59"/>
    </row>
    <row r="19" spans="1:10" ht="25.35" customHeight="1">
      <c r="A19" s="504" t="s">
        <v>33</v>
      </c>
      <c r="B19" s="1171">
        <v>13071677</v>
      </c>
      <c r="C19" s="1172">
        <v>2317578</v>
      </c>
      <c r="D19" s="89">
        <f t="shared" si="0"/>
        <v>15389255</v>
      </c>
      <c r="E19" s="532"/>
      <c r="F19" s="59"/>
      <c r="G19" s="59"/>
      <c r="I19" s="59"/>
      <c r="J19" s="59"/>
    </row>
    <row r="20" spans="1:10" ht="25.35" customHeight="1">
      <c r="A20" s="504" t="s">
        <v>34</v>
      </c>
      <c r="B20" s="1171">
        <v>22113091</v>
      </c>
      <c r="C20" s="1172">
        <v>3901568</v>
      </c>
      <c r="D20" s="89">
        <f t="shared" si="0"/>
        <v>26014659</v>
      </c>
      <c r="E20" s="532"/>
      <c r="F20" s="59"/>
      <c r="G20" s="59"/>
      <c r="I20" s="59"/>
      <c r="J20" s="59"/>
    </row>
    <row r="21" spans="1:10" ht="25.35" customHeight="1">
      <c r="A21" s="504" t="s">
        <v>35</v>
      </c>
      <c r="B21" s="1171">
        <v>148245620</v>
      </c>
      <c r="C21" s="1172">
        <v>30660327</v>
      </c>
      <c r="D21" s="89">
        <f t="shared" si="0"/>
        <v>178905947</v>
      </c>
      <c r="E21" s="532"/>
      <c r="F21" s="59"/>
      <c r="G21" s="59"/>
      <c r="I21" s="59"/>
      <c r="J21" s="59"/>
    </row>
    <row r="22" spans="1:10" ht="25.35" customHeight="1">
      <c r="A22" s="504" t="s">
        <v>36</v>
      </c>
      <c r="B22" s="1171">
        <v>6918250</v>
      </c>
      <c r="C22" s="1172">
        <v>1263365</v>
      </c>
      <c r="D22" s="89">
        <f t="shared" si="0"/>
        <v>8181615</v>
      </c>
      <c r="E22" s="532"/>
      <c r="F22" s="59"/>
      <c r="G22" s="59"/>
      <c r="I22" s="59"/>
      <c r="J22" s="59"/>
    </row>
    <row r="23" spans="1:10" ht="25.35" customHeight="1">
      <c r="A23" s="504" t="s">
        <v>37</v>
      </c>
      <c r="B23" s="1171">
        <v>17140914</v>
      </c>
      <c r="C23" s="1172">
        <v>3384175</v>
      </c>
      <c r="D23" s="89">
        <f t="shared" si="0"/>
        <v>20525089</v>
      </c>
      <c r="E23" s="532"/>
      <c r="F23" s="59"/>
      <c r="G23" s="59"/>
      <c r="I23" s="59"/>
      <c r="J23" s="59"/>
    </row>
    <row r="24" spans="1:10" ht="25.35" customHeight="1">
      <c r="A24" s="504" t="s">
        <v>38</v>
      </c>
      <c r="B24" s="1171">
        <v>58017036</v>
      </c>
      <c r="C24" s="1172">
        <v>9949475</v>
      </c>
      <c r="D24" s="89">
        <f t="shared" si="0"/>
        <v>67966511</v>
      </c>
      <c r="E24" s="532"/>
      <c r="F24" s="59"/>
      <c r="G24" s="59"/>
      <c r="I24" s="59"/>
      <c r="J24" s="59"/>
    </row>
    <row r="25" spans="1:10" ht="25.35" customHeight="1">
      <c r="A25" s="504" t="s">
        <v>39</v>
      </c>
      <c r="B25" s="1171">
        <v>32552231</v>
      </c>
      <c r="C25" s="1172">
        <v>4621140</v>
      </c>
      <c r="D25" s="89">
        <f t="shared" si="0"/>
        <v>37173371</v>
      </c>
      <c r="E25" s="532"/>
      <c r="F25" s="59"/>
      <c r="G25" s="59"/>
      <c r="I25" s="59"/>
      <c r="J25" s="59"/>
    </row>
    <row r="26" spans="1:10" ht="25.35" customHeight="1">
      <c r="A26" s="504" t="s">
        <v>40</v>
      </c>
      <c r="B26" s="1171">
        <v>32146954</v>
      </c>
      <c r="C26" s="1172">
        <v>6062173</v>
      </c>
      <c r="D26" s="89">
        <f t="shared" si="0"/>
        <v>38209127</v>
      </c>
      <c r="E26" s="532"/>
      <c r="F26" s="59"/>
      <c r="G26" s="59"/>
      <c r="I26" s="59"/>
      <c r="J26" s="59"/>
    </row>
    <row r="27" spans="1:10" ht="25.35" customHeight="1">
      <c r="A27" s="504" t="s">
        <v>41</v>
      </c>
      <c r="B27" s="1171">
        <v>34006344</v>
      </c>
      <c r="C27" s="1172">
        <v>4660748</v>
      </c>
      <c r="D27" s="89">
        <f t="shared" si="0"/>
        <v>38667092</v>
      </c>
      <c r="E27" s="532"/>
      <c r="F27" s="59"/>
      <c r="G27" s="59"/>
      <c r="I27" s="59"/>
      <c r="J27" s="59"/>
    </row>
    <row r="28" spans="1:10" ht="25.35" customHeight="1">
      <c r="A28" s="504" t="s">
        <v>42</v>
      </c>
      <c r="B28" s="1171">
        <v>21776932</v>
      </c>
      <c r="C28" s="1172">
        <v>3236588</v>
      </c>
      <c r="D28" s="89">
        <f t="shared" si="0"/>
        <v>25013520</v>
      </c>
      <c r="E28" s="532"/>
      <c r="F28" s="59"/>
      <c r="G28" s="59"/>
      <c r="I28" s="59"/>
      <c r="J28" s="59"/>
    </row>
    <row r="29" spans="1:10" ht="25.35" customHeight="1">
      <c r="A29" s="504" t="s">
        <v>43</v>
      </c>
      <c r="B29" s="1171">
        <v>66032070</v>
      </c>
      <c r="C29" s="1172">
        <v>12104813</v>
      </c>
      <c r="D29" s="89">
        <f t="shared" si="0"/>
        <v>78136883</v>
      </c>
      <c r="E29" s="532"/>
      <c r="F29" s="59"/>
      <c r="G29" s="59"/>
      <c r="I29" s="59"/>
      <c r="J29" s="59"/>
    </row>
    <row r="30" spans="1:10" ht="25.35" customHeight="1">
      <c r="A30" s="504" t="s">
        <v>44</v>
      </c>
      <c r="B30" s="1171">
        <v>38518774</v>
      </c>
      <c r="C30" s="1172">
        <v>5933828</v>
      </c>
      <c r="D30" s="89">
        <f t="shared" si="0"/>
        <v>44452602</v>
      </c>
      <c r="E30" s="532"/>
      <c r="F30" s="59"/>
      <c r="G30" s="59"/>
      <c r="I30" s="59"/>
      <c r="J30" s="59"/>
    </row>
    <row r="31" spans="1:10" ht="25.35" customHeight="1">
      <c r="A31" s="504" t="s">
        <v>45</v>
      </c>
      <c r="B31" s="1171">
        <v>40112438</v>
      </c>
      <c r="C31" s="1172">
        <v>6458496</v>
      </c>
      <c r="D31" s="89">
        <f t="shared" si="0"/>
        <v>46570934</v>
      </c>
      <c r="E31" s="532"/>
      <c r="F31" s="59"/>
      <c r="G31" s="59"/>
      <c r="I31" s="59"/>
      <c r="J31" s="59"/>
    </row>
    <row r="32" spans="1:10" ht="25.35" customHeight="1">
      <c r="A32" s="504" t="s">
        <v>46</v>
      </c>
      <c r="B32" s="1171">
        <v>17437031</v>
      </c>
      <c r="C32" s="1172">
        <v>2799758</v>
      </c>
      <c r="D32" s="89">
        <f t="shared" si="0"/>
        <v>20236789</v>
      </c>
      <c r="E32" s="532"/>
      <c r="F32" s="59"/>
      <c r="G32" s="59"/>
      <c r="I32" s="59" t="s">
        <v>47</v>
      </c>
      <c r="J32" s="59"/>
    </row>
    <row r="33" spans="1:21" ht="25.35" customHeight="1">
      <c r="A33" s="504" t="s">
        <v>48</v>
      </c>
      <c r="B33" s="1171">
        <v>29219153</v>
      </c>
      <c r="C33" s="1172">
        <v>5576841</v>
      </c>
      <c r="D33" s="89">
        <f t="shared" si="0"/>
        <v>34795994</v>
      </c>
      <c r="E33" s="532"/>
      <c r="F33" s="59"/>
      <c r="G33" s="59"/>
      <c r="I33" s="532"/>
      <c r="J33" s="59"/>
      <c r="K33" s="532"/>
    </row>
    <row r="34" spans="1:21" ht="25.35" customHeight="1">
      <c r="A34" s="505" t="s">
        <v>49</v>
      </c>
      <c r="B34" s="1171">
        <v>83933611</v>
      </c>
      <c r="C34" s="1172">
        <v>11267752</v>
      </c>
      <c r="D34" s="90">
        <f t="shared" si="0"/>
        <v>95201363</v>
      </c>
      <c r="E34" s="532"/>
      <c r="F34" s="59"/>
      <c r="G34" s="59"/>
      <c r="I34" s="532"/>
      <c r="J34" s="59"/>
      <c r="K34" s="532"/>
    </row>
    <row r="35" spans="1:21" ht="25.35" customHeight="1" thickBot="1">
      <c r="A35" s="506" t="s">
        <v>50</v>
      </c>
      <c r="B35" s="557">
        <f>SUM(B7:B34)</f>
        <v>1096466294</v>
      </c>
      <c r="C35" s="558">
        <f>SUM(C7:C34)</f>
        <v>196932429</v>
      </c>
      <c r="D35" s="521">
        <f>SUM(D7:D34)</f>
        <v>1293398723</v>
      </c>
      <c r="E35" s="559"/>
      <c r="F35" s="60"/>
      <c r="G35" s="59"/>
      <c r="H35" s="59"/>
      <c r="I35" s="532"/>
      <c r="J35" s="59"/>
      <c r="K35" s="532"/>
      <c r="L35" s="533"/>
    </row>
    <row r="36" spans="1:21" ht="19.350000000000001" customHeight="1">
      <c r="A36" s="1299" t="s">
        <v>51</v>
      </c>
      <c r="B36" s="1299"/>
      <c r="C36" s="1299"/>
      <c r="D36" s="1299"/>
      <c r="E36" s="610"/>
      <c r="F36" s="24"/>
      <c r="K36" s="532"/>
    </row>
    <row r="37" spans="1:21" ht="44.45" customHeight="1">
      <c r="A37" s="1298" t="s">
        <v>746</v>
      </c>
      <c r="B37" s="1298"/>
      <c r="C37" s="1298"/>
      <c r="D37" s="1298"/>
      <c r="E37" s="609"/>
      <c r="F37" s="24"/>
      <c r="K37" s="532"/>
    </row>
    <row r="38" spans="1:21" ht="26.45" customHeight="1">
      <c r="A38" s="769"/>
      <c r="B38" s="769"/>
      <c r="C38" s="769"/>
      <c r="D38" s="769"/>
      <c r="E38" s="609"/>
      <c r="F38" s="24"/>
      <c r="K38" s="532"/>
    </row>
    <row r="39" spans="1:21" ht="36.6" customHeight="1" thickBot="1">
      <c r="A39" s="603" t="s">
        <v>15</v>
      </c>
      <c r="B39" s="604"/>
      <c r="C39" s="604"/>
      <c r="D39" s="27"/>
      <c r="E39" s="19"/>
      <c r="F39" s="19"/>
      <c r="G39" s="24"/>
      <c r="H39" s="24"/>
      <c r="I39" s="24"/>
      <c r="J39" s="24"/>
      <c r="K39" s="212"/>
      <c r="L39" s="24"/>
      <c r="M39" s="24"/>
      <c r="N39" s="24"/>
      <c r="O39" s="24"/>
      <c r="P39" s="24"/>
      <c r="Q39" s="24"/>
      <c r="R39" s="24"/>
      <c r="S39" s="24"/>
      <c r="T39" s="24"/>
      <c r="U39" s="24"/>
    </row>
    <row r="40" spans="1:21" ht="24" customHeight="1" thickBot="1">
      <c r="A40" s="767" t="s">
        <v>747</v>
      </c>
      <c r="B40" s="1165" t="s">
        <v>792</v>
      </c>
      <c r="C40" s="1166"/>
      <c r="D40" s="1166"/>
      <c r="E40" s="116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74" t="str">
        <f>A10</f>
        <v>Chipola College</v>
      </c>
      <c r="B43" s="788" t="s">
        <v>56</v>
      </c>
      <c r="C43" s="789">
        <v>200000</v>
      </c>
      <c r="D43" s="789"/>
      <c r="E43" s="790">
        <f t="shared" ref="E43:E51" si="1">C43+D43</f>
        <v>200000</v>
      </c>
    </row>
    <row r="44" spans="1:21" ht="42">
      <c r="A44" s="1175" t="str">
        <f>A11</f>
        <v>Daytona State College</v>
      </c>
      <c r="B44" s="791" t="s">
        <v>57</v>
      </c>
      <c r="C44" s="789">
        <v>500000</v>
      </c>
      <c r="D44" s="789"/>
      <c r="E44" s="790">
        <f t="shared" si="1"/>
        <v>500000</v>
      </c>
      <c r="H44" s="24"/>
    </row>
    <row r="45" spans="1:21" ht="43.35" customHeight="1">
      <c r="A45" s="1173" t="s">
        <v>25</v>
      </c>
      <c r="B45" s="791" t="s">
        <v>58</v>
      </c>
      <c r="C45" s="789"/>
      <c r="D45" s="789">
        <v>200000</v>
      </c>
      <c r="E45" s="790">
        <f t="shared" si="1"/>
        <v>200000</v>
      </c>
      <c r="H45" s="24"/>
    </row>
    <row r="46" spans="1:21" ht="62.45" customHeight="1">
      <c r="A46" s="1173" t="s">
        <v>30</v>
      </c>
      <c r="B46" s="791" t="s">
        <v>59</v>
      </c>
      <c r="C46" s="789">
        <v>2500000</v>
      </c>
      <c r="D46" s="789"/>
      <c r="E46" s="790">
        <f t="shared" si="1"/>
        <v>2500000</v>
      </c>
      <c r="H46" s="24"/>
    </row>
    <row r="47" spans="1:21">
      <c r="A47" s="1173" t="str">
        <f>A25</f>
        <v>Pasco-Hernando State College</v>
      </c>
      <c r="B47" s="791" t="s">
        <v>60</v>
      </c>
      <c r="C47" s="789">
        <v>2306271</v>
      </c>
      <c r="D47" s="789"/>
      <c r="E47" s="790">
        <f>C47+D47</f>
        <v>2306271</v>
      </c>
      <c r="H47" s="24"/>
    </row>
    <row r="48" spans="1:21" ht="42">
      <c r="A48" s="1176" t="s">
        <v>43</v>
      </c>
      <c r="B48" s="791" t="s">
        <v>750</v>
      </c>
      <c r="C48" s="789"/>
      <c r="D48" s="789">
        <v>510000</v>
      </c>
      <c r="E48" s="790">
        <f t="shared" ref="E48:E49" si="2">C48+D48</f>
        <v>510000</v>
      </c>
      <c r="H48" s="24"/>
    </row>
    <row r="49" spans="1:8" ht="42">
      <c r="A49" s="1176" t="s">
        <v>752</v>
      </c>
      <c r="B49" s="791" t="s">
        <v>751</v>
      </c>
      <c r="C49" s="789"/>
      <c r="D49" s="789">
        <v>250000</v>
      </c>
      <c r="E49" s="790">
        <f t="shared" si="2"/>
        <v>250000</v>
      </c>
      <c r="H49" s="24"/>
    </row>
    <row r="50" spans="1:8" ht="62.45" customHeight="1">
      <c r="A50" s="1176" t="s">
        <v>46</v>
      </c>
      <c r="B50" s="1257" t="s">
        <v>736</v>
      </c>
      <c r="C50" s="1258"/>
      <c r="D50" s="1258">
        <v>1000000</v>
      </c>
      <c r="E50" s="790">
        <f t="shared" si="1"/>
        <v>1000000</v>
      </c>
      <c r="H50" s="24"/>
    </row>
    <row r="51" spans="1:8" ht="86.25" customHeight="1" thickBot="1">
      <c r="A51" s="1176" t="s">
        <v>61</v>
      </c>
      <c r="B51" s="733" t="s">
        <v>62</v>
      </c>
      <c r="C51" s="734"/>
      <c r="D51" s="734">
        <v>500000</v>
      </c>
      <c r="E51" s="1256">
        <f t="shared" si="1"/>
        <v>500000</v>
      </c>
      <c r="H51" s="24"/>
    </row>
    <row r="52" spans="1:8" ht="24.6" customHeight="1" thickBot="1">
      <c r="A52" s="80" t="s">
        <v>55</v>
      </c>
      <c r="B52" s="503"/>
      <c r="C52" s="555">
        <f>SUM(C43:C51)</f>
        <v>5506271</v>
      </c>
      <c r="D52" s="555">
        <f>SUM(D43:D51)</f>
        <v>2460000</v>
      </c>
      <c r="E52" s="556">
        <f>SUM(E43:E51)</f>
        <v>7966271</v>
      </c>
      <c r="H52" s="24"/>
    </row>
    <row r="53" spans="1:8" ht="25.35" customHeight="1">
      <c r="A53" s="20" t="s">
        <v>63</v>
      </c>
      <c r="H53" s="24"/>
    </row>
    <row r="54" spans="1:8" ht="25.35" customHeight="1">
      <c r="D54" s="59"/>
      <c r="H54" s="24"/>
    </row>
    <row r="55" spans="1:8" ht="30.6" customHeight="1" thickBot="1">
      <c r="A55" s="603" t="s">
        <v>15</v>
      </c>
      <c r="B55" s="604"/>
      <c r="C55" s="604"/>
      <c r="D55" s="27"/>
      <c r="E55" s="19"/>
      <c r="H55" s="24"/>
    </row>
    <row r="56" spans="1:8" ht="41.1" customHeight="1" thickBot="1">
      <c r="A56" s="56" t="s">
        <v>740</v>
      </c>
      <c r="B56" s="508" t="str">
        <f>B3</f>
        <v>Date Updated:   6.4.21    BY:  EN</v>
      </c>
      <c r="C56" s="53" t="s">
        <v>10</v>
      </c>
      <c r="D56" s="53"/>
      <c r="F56" s="24"/>
      <c r="G56" s="24"/>
      <c r="H56" s="24"/>
    </row>
    <row r="57" spans="1:8" ht="45" customHeight="1" thickBot="1">
      <c r="A57" s="1291" t="s">
        <v>753</v>
      </c>
      <c r="B57" s="1292"/>
      <c r="C57" s="509"/>
      <c r="H57" s="24"/>
    </row>
    <row r="58" spans="1:8" ht="37.35" customHeight="1" thickBot="1">
      <c r="A58" s="465" t="s">
        <v>17</v>
      </c>
      <c r="B58" s="587" t="s">
        <v>50</v>
      </c>
      <c r="C58" s="25"/>
      <c r="D58" s="28"/>
      <c r="H58" s="24"/>
    </row>
    <row r="59" spans="1:8" ht="25.35" customHeight="1">
      <c r="A59" s="529" t="str">
        <f>A11</f>
        <v>Daytona State College</v>
      </c>
      <c r="B59" s="792">
        <v>70000</v>
      </c>
      <c r="C59" s="510"/>
      <c r="H59" s="24"/>
    </row>
    <row r="60" spans="1:8" ht="25.35" customHeight="1" thickBot="1">
      <c r="A60" s="531" t="str">
        <f>A33</f>
        <v>Tallahassee Community College</v>
      </c>
      <c r="B60" s="605">
        <v>25000</v>
      </c>
      <c r="C60" s="510"/>
      <c r="H60" s="24"/>
    </row>
    <row r="61" spans="1:8" ht="25.35" customHeight="1" thickBot="1">
      <c r="A61" s="495" t="s">
        <v>50</v>
      </c>
      <c r="B61" s="606">
        <f>SUM(B59:B60)</f>
        <v>95000</v>
      </c>
      <c r="C61" s="511"/>
    </row>
    <row r="62" spans="1:8" ht="24.6" customHeight="1">
      <c r="A62" s="612"/>
      <c r="B62" s="611"/>
      <c r="C62" s="611"/>
      <c r="D62" s="24"/>
      <c r="E62" s="24"/>
      <c r="F62" s="24"/>
      <c r="G62" s="19"/>
      <c r="H62" s="24"/>
    </row>
    <row r="63" spans="1:8" ht="32.1" customHeight="1" thickBot="1">
      <c r="A63" s="603" t="s">
        <v>64</v>
      </c>
      <c r="B63" s="604"/>
      <c r="C63" s="604"/>
      <c r="D63" s="27"/>
      <c r="E63" s="19"/>
      <c r="F63" s="24"/>
      <c r="G63" s="19"/>
      <c r="H63" s="24"/>
    </row>
    <row r="64" spans="1:8" ht="44.45" customHeight="1" thickBot="1">
      <c r="A64" s="47" t="s">
        <v>748</v>
      </c>
      <c r="B64" s="1295" t="str">
        <f>B3</f>
        <v>Date Updated:   6.4.21    BY:  EN</v>
      </c>
      <c r="C64" s="1296"/>
      <c r="D64" s="1296"/>
      <c r="E64" s="1297"/>
      <c r="F64" s="21"/>
      <c r="G64" s="53"/>
      <c r="H64" s="24"/>
    </row>
    <row r="65" spans="1:13" ht="87.6" customHeight="1" thickBot="1">
      <c r="A65" s="50" t="s">
        <v>17</v>
      </c>
      <c r="B65" s="30" t="s">
        <v>749</v>
      </c>
      <c r="C65" s="49" t="s">
        <v>65</v>
      </c>
      <c r="D65" s="31" t="s">
        <v>66</v>
      </c>
      <c r="E65" s="32" t="s">
        <v>67</v>
      </c>
      <c r="F65" s="30" t="s">
        <v>68</v>
      </c>
      <c r="G65" s="25"/>
      <c r="H65" s="24"/>
    </row>
    <row r="66" spans="1:13" ht="25.35" customHeight="1">
      <c r="A66" s="793" t="str">
        <f t="shared" ref="A66:A93" si="3">A7</f>
        <v>Eastern Florida State College</v>
      </c>
      <c r="B66" s="534">
        <v>21284458.156083297</v>
      </c>
      <c r="C66" s="534">
        <f t="shared" ref="C66:C93" si="4">B66*0.05</f>
        <v>1064222.9078041648</v>
      </c>
      <c r="D66" s="535">
        <f t="shared" ref="D66:D93" si="5">IF(C66&gt;500000,0,1)</f>
        <v>0</v>
      </c>
      <c r="E66" s="535">
        <f t="shared" ref="E66:E93" si="6">IF(D66&lt;1,0,B66*0.02)</f>
        <v>0</v>
      </c>
      <c r="F66" s="534">
        <f>C66+E66</f>
        <v>1064222.9078041648</v>
      </c>
      <c r="H66" s="24"/>
      <c r="I66" s="24"/>
      <c r="J66" s="24"/>
      <c r="K66" s="24"/>
      <c r="L66" s="24"/>
      <c r="M66" s="24"/>
    </row>
    <row r="67" spans="1:13" ht="25.35" customHeight="1">
      <c r="A67" s="794"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94"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95" t="str">
        <f t="shared" si="3"/>
        <v>Chipola College</v>
      </c>
      <c r="B69" s="492">
        <v>2619373.6706896927</v>
      </c>
      <c r="C69" s="492">
        <f t="shared" si="4"/>
        <v>130968.68353448465</v>
      </c>
      <c r="D69" s="492">
        <f t="shared" si="5"/>
        <v>1</v>
      </c>
      <c r="E69" s="492">
        <f t="shared" si="6"/>
        <v>52387.473413793858</v>
      </c>
      <c r="F69" s="492">
        <f t="shared" si="7"/>
        <v>183356.15694827851</v>
      </c>
    </row>
    <row r="70" spans="1:13" ht="25.35" customHeight="1">
      <c r="A70" s="794"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94"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94"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95" t="str">
        <f t="shared" si="3"/>
        <v>College of the Florida Keys</v>
      </c>
      <c r="B73" s="492">
        <v>2162647.2571190572</v>
      </c>
      <c r="C73" s="492">
        <f t="shared" si="4"/>
        <v>108132.36285595287</v>
      </c>
      <c r="D73" s="492">
        <f t="shared" si="5"/>
        <v>1</v>
      </c>
      <c r="E73" s="492">
        <f t="shared" si="6"/>
        <v>43252.945142381148</v>
      </c>
      <c r="F73" s="492">
        <f t="shared" si="7"/>
        <v>151385.30799833403</v>
      </c>
    </row>
    <row r="74" spans="1:13" ht="25.35" customHeight="1">
      <c r="A74" s="795" t="str">
        <f t="shared" si="3"/>
        <v>Gulf Coast State College</v>
      </c>
      <c r="B74" s="492">
        <v>6480705.8220794136</v>
      </c>
      <c r="C74" s="492">
        <f t="shared" si="4"/>
        <v>324035.29110397073</v>
      </c>
      <c r="D74" s="492">
        <f t="shared" si="5"/>
        <v>1</v>
      </c>
      <c r="E74" s="492">
        <f t="shared" si="6"/>
        <v>129614.11644158828</v>
      </c>
      <c r="F74" s="492">
        <f t="shared" si="7"/>
        <v>453649.40754555899</v>
      </c>
    </row>
    <row r="75" spans="1:13" ht="25.35" customHeight="1">
      <c r="A75" s="794"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94"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95" t="str">
        <f t="shared" si="3"/>
        <v>Florida Gateway College</v>
      </c>
      <c r="B77" s="492">
        <v>4481911.4490397088</v>
      </c>
      <c r="C77" s="492">
        <f t="shared" si="4"/>
        <v>224095.57245198544</v>
      </c>
      <c r="D77" s="492">
        <f t="shared" si="5"/>
        <v>1</v>
      </c>
      <c r="E77" s="492">
        <f t="shared" si="6"/>
        <v>89638.228980794185</v>
      </c>
      <c r="F77" s="492">
        <f t="shared" si="7"/>
        <v>313733.80143277964</v>
      </c>
    </row>
    <row r="78" spans="1:13" ht="25.35" customHeight="1">
      <c r="A78" s="795" t="str">
        <f t="shared" si="3"/>
        <v>Lake-Sumter State College</v>
      </c>
      <c r="B78" s="492">
        <v>6298409.6561406534</v>
      </c>
      <c r="C78" s="492">
        <f t="shared" si="4"/>
        <v>314920.48280703271</v>
      </c>
      <c r="D78" s="492">
        <f t="shared" si="5"/>
        <v>1</v>
      </c>
      <c r="E78" s="492">
        <f t="shared" si="6"/>
        <v>125968.19312281307</v>
      </c>
      <c r="F78" s="492">
        <f t="shared" si="7"/>
        <v>440888.67592984578</v>
      </c>
    </row>
    <row r="79" spans="1:13" ht="25.35" customHeight="1">
      <c r="A79" s="794"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94"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95" t="str">
        <f t="shared" si="3"/>
        <v>North Florida College</v>
      </c>
      <c r="B81" s="492">
        <v>1608194.9414521542</v>
      </c>
      <c r="C81" s="492">
        <f t="shared" si="4"/>
        <v>80409.747072607715</v>
      </c>
      <c r="D81" s="492">
        <f t="shared" si="5"/>
        <v>1</v>
      </c>
      <c r="E81" s="492">
        <f t="shared" si="6"/>
        <v>32163.898829043086</v>
      </c>
      <c r="F81" s="492">
        <f t="shared" si="7"/>
        <v>112573.6459016508</v>
      </c>
    </row>
    <row r="82" spans="1:7" ht="25.35" customHeight="1">
      <c r="A82" s="795" t="str">
        <f t="shared" si="3"/>
        <v>Northwest Florida State College</v>
      </c>
      <c r="B82" s="492">
        <v>7969842.4723906666</v>
      </c>
      <c r="C82" s="492">
        <f t="shared" si="4"/>
        <v>398492.12361953338</v>
      </c>
      <c r="D82" s="492">
        <f t="shared" si="5"/>
        <v>1</v>
      </c>
      <c r="E82" s="492">
        <f t="shared" si="6"/>
        <v>159396.84944781332</v>
      </c>
      <c r="F82" s="492">
        <f t="shared" si="7"/>
        <v>557888.97306734673</v>
      </c>
    </row>
    <row r="83" spans="1:7" ht="25.35" customHeight="1">
      <c r="A83" s="794"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94"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94"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94"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95" t="str">
        <f t="shared" si="3"/>
        <v>St. Johns River State College</v>
      </c>
      <c r="B87" s="492">
        <v>8494066.254338745</v>
      </c>
      <c r="C87" s="492">
        <f t="shared" si="4"/>
        <v>424703.31271693727</v>
      </c>
      <c r="D87" s="492">
        <f t="shared" si="5"/>
        <v>1</v>
      </c>
      <c r="E87" s="492">
        <f t="shared" si="6"/>
        <v>169881.32508677492</v>
      </c>
      <c r="F87" s="492">
        <f t="shared" si="7"/>
        <v>594584.63780371216</v>
      </c>
    </row>
    <row r="88" spans="1:7" ht="25.35" customHeight="1">
      <c r="A88" s="794"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94"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94"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95" t="str">
        <f t="shared" si="3"/>
        <v>South Florida State College</v>
      </c>
      <c r="B91" s="492">
        <v>3897242.2898468859</v>
      </c>
      <c r="C91" s="492">
        <f t="shared" si="4"/>
        <v>194862.11449234432</v>
      </c>
      <c r="D91" s="492">
        <f t="shared" si="5"/>
        <v>1</v>
      </c>
      <c r="E91" s="492">
        <f t="shared" si="6"/>
        <v>77944.84579693772</v>
      </c>
      <c r="F91" s="492">
        <f t="shared" si="7"/>
        <v>272806.96028928203</v>
      </c>
    </row>
    <row r="92" spans="1:7" ht="25.35" customHeight="1">
      <c r="A92" s="794"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94" t="str">
        <f t="shared" si="3"/>
        <v>Valencia College</v>
      </c>
      <c r="B93" s="613">
        <v>94519809.31810233</v>
      </c>
      <c r="C93" s="34">
        <f t="shared" si="4"/>
        <v>4725990.4659051169</v>
      </c>
      <c r="D93" s="34">
        <f t="shared" si="5"/>
        <v>0</v>
      </c>
      <c r="E93" s="34">
        <f t="shared" si="6"/>
        <v>0</v>
      </c>
      <c r="F93" s="34">
        <f t="shared" si="7"/>
        <v>4725990.4659051169</v>
      </c>
    </row>
    <row r="94" spans="1:7" ht="25.35" customHeight="1" thickBot="1">
      <c r="A94" s="80" t="s">
        <v>50</v>
      </c>
      <c r="B94" s="536">
        <f>SUM(B66:B93)</f>
        <v>719066462.19599426</v>
      </c>
      <c r="C94" s="536">
        <f>SUM(C66:C93)</f>
        <v>35953323.10979972</v>
      </c>
      <c r="D94" s="81">
        <f>SUM(D66:D93)</f>
        <v>9</v>
      </c>
      <c r="E94" s="536">
        <f>SUM(E66:E93)</f>
        <v>880247.87626193953</v>
      </c>
      <c r="F94" s="537">
        <f>SUM(C66:E93)</f>
        <v>36833579.986061662</v>
      </c>
    </row>
    <row r="95" spans="1:7" ht="25.35" customHeight="1">
      <c r="A95" s="93"/>
      <c r="E95" s="24"/>
      <c r="F95" s="24"/>
      <c r="G95" s="24"/>
    </row>
    <row r="96" spans="1:7" ht="25.35" customHeight="1">
      <c r="A96" s="94" t="s">
        <v>69</v>
      </c>
      <c r="E96" s="24"/>
      <c r="F96" s="24"/>
      <c r="G96" s="24"/>
    </row>
    <row r="97" spans="1:54" ht="25.35" customHeight="1">
      <c r="A97" s="1308" t="s">
        <v>758</v>
      </c>
      <c r="B97" s="1308"/>
      <c r="C97" s="1308"/>
      <c r="D97" s="1308"/>
      <c r="E97" s="1308"/>
      <c r="F97" s="1308"/>
      <c r="G97" s="1308"/>
      <c r="H97" s="1308"/>
      <c r="I97" s="1308"/>
      <c r="J97" s="1308"/>
      <c r="K97" s="1308"/>
      <c r="L97" s="1308"/>
      <c r="M97" s="1308"/>
      <c r="N97" s="1308"/>
      <c r="O97" s="1308"/>
      <c r="P97" s="1308"/>
      <c r="Q97" s="1308"/>
      <c r="R97" s="1308"/>
    </row>
    <row r="98" spans="1:54" ht="20.100000000000001" customHeight="1">
      <c r="A98" s="1306" t="s">
        <v>70</v>
      </c>
      <c r="B98" s="1306"/>
      <c r="C98" s="1306"/>
      <c r="D98" s="1306"/>
      <c r="E98" s="1306"/>
      <c r="F98" s="1306"/>
      <c r="G98" s="1306"/>
      <c r="H98" s="1306"/>
      <c r="I98" s="1306"/>
      <c r="J98" s="1306"/>
      <c r="K98" s="1306"/>
      <c r="L98" s="1306"/>
      <c r="M98" s="1306"/>
      <c r="N98" s="1306"/>
      <c r="O98" s="1306"/>
      <c r="P98" s="1306"/>
      <c r="Q98" s="1306"/>
      <c r="R98" s="1306"/>
      <c r="S98" s="608"/>
    </row>
    <row r="99" spans="1:54" ht="20.100000000000001" customHeight="1">
      <c r="A99" s="589" t="s">
        <v>71</v>
      </c>
      <c r="B99" s="589"/>
      <c r="C99" s="589"/>
      <c r="D99" s="589"/>
      <c r="E99" s="589"/>
      <c r="F99" s="589"/>
      <c r="G99" s="589"/>
      <c r="H99" s="589"/>
      <c r="I99" s="589"/>
      <c r="J99" s="589"/>
      <c r="K99" s="589"/>
      <c r="L99" s="589"/>
      <c r="M99" s="589"/>
      <c r="N99" s="589"/>
      <c r="O99" s="589"/>
      <c r="P99" s="589"/>
      <c r="Q99" s="589"/>
      <c r="R99" s="589"/>
    </row>
    <row r="100" spans="1:54" ht="20.100000000000001" customHeight="1">
      <c r="A100" s="1306" t="s">
        <v>72</v>
      </c>
      <c r="B100" s="1306"/>
      <c r="C100" s="1306"/>
      <c r="D100" s="1306"/>
      <c r="E100" s="1306"/>
      <c r="F100" s="1306"/>
      <c r="G100" s="1306"/>
      <c r="H100" s="1306"/>
      <c r="I100" s="1306"/>
      <c r="J100" s="1306"/>
      <c r="K100" s="1306"/>
      <c r="L100" s="1306"/>
      <c r="M100" s="1306"/>
      <c r="N100" s="1306"/>
      <c r="O100" s="1306"/>
      <c r="P100" s="1306"/>
      <c r="Q100" s="1306"/>
      <c r="R100" s="1306"/>
    </row>
    <row r="101" spans="1:54" ht="20.100000000000001" customHeight="1">
      <c r="A101" s="1306"/>
      <c r="B101" s="1306"/>
      <c r="C101" s="1306"/>
      <c r="D101" s="1306"/>
      <c r="E101" s="1306"/>
      <c r="F101" s="1306"/>
      <c r="G101" s="1306"/>
    </row>
    <row r="102" spans="1:54" ht="32.450000000000003" customHeight="1" thickBot="1">
      <c r="E102" s="602"/>
      <c r="F102" s="602"/>
      <c r="G102" s="602"/>
      <c r="H102" s="27"/>
      <c r="I102" s="27"/>
      <c r="J102" s="27"/>
      <c r="K102" s="27"/>
    </row>
    <row r="103" spans="1:54" ht="43.35" customHeight="1" thickBot="1">
      <c r="A103" s="58" t="s">
        <v>754</v>
      </c>
      <c r="B103" s="1301" t="s">
        <v>757</v>
      </c>
      <c r="C103" s="1302"/>
      <c r="D103" s="1303"/>
      <c r="E103" s="1304" t="s">
        <v>73</v>
      </c>
      <c r="F103" s="1304"/>
      <c r="G103" s="1304"/>
      <c r="H103" s="1304"/>
      <c r="I103" s="1304"/>
      <c r="J103" s="1304"/>
      <c r="K103" s="1304"/>
      <c r="L103" s="1304"/>
      <c r="M103" s="1304"/>
      <c r="N103" s="1304"/>
      <c r="O103" s="1304"/>
      <c r="P103" s="1304"/>
      <c r="Q103" s="1304"/>
      <c r="R103" s="1304"/>
      <c r="S103" s="1305"/>
      <c r="T103" s="772"/>
      <c r="U103" s="772"/>
      <c r="AC103" s="22"/>
      <c r="AD103" s="37"/>
      <c r="AK103" s="500"/>
    </row>
    <row r="104" spans="1:54" ht="39" customHeight="1" thickBot="1">
      <c r="A104" s="57">
        <v>1</v>
      </c>
      <c r="B104" s="55">
        <v>2</v>
      </c>
      <c r="C104" s="770">
        <v>3</v>
      </c>
      <c r="D104" s="771">
        <v>4</v>
      </c>
      <c r="E104" s="770">
        <v>5</v>
      </c>
      <c r="F104" s="770">
        <v>6</v>
      </c>
      <c r="G104" s="770">
        <v>7</v>
      </c>
      <c r="H104" s="770">
        <v>8</v>
      </c>
      <c r="I104" s="770">
        <v>9</v>
      </c>
      <c r="J104" s="770">
        <v>10</v>
      </c>
      <c r="K104" s="770">
        <v>11</v>
      </c>
      <c r="L104" s="770">
        <v>12</v>
      </c>
      <c r="M104" s="770">
        <v>13</v>
      </c>
      <c r="N104" s="770">
        <v>14</v>
      </c>
      <c r="O104" s="770">
        <v>15</v>
      </c>
      <c r="P104" s="770">
        <v>16</v>
      </c>
      <c r="Q104" s="770">
        <v>17</v>
      </c>
      <c r="R104" s="770">
        <v>18</v>
      </c>
      <c r="S104" s="771">
        <v>19</v>
      </c>
      <c r="T104" s="1289" t="s">
        <v>74</v>
      </c>
      <c r="U104" s="38"/>
      <c r="V104" s="55">
        <v>20</v>
      </c>
      <c r="W104" s="770">
        <v>21</v>
      </c>
      <c r="X104" s="770">
        <v>22</v>
      </c>
      <c r="Y104" s="73"/>
      <c r="Z104" s="770">
        <v>23</v>
      </c>
      <c r="AA104" s="770">
        <v>24</v>
      </c>
      <c r="AB104" s="771">
        <v>25</v>
      </c>
      <c r="AC104" s="40"/>
      <c r="AD104" s="37"/>
    </row>
    <row r="105" spans="1:54" ht="29.45" customHeight="1" thickBot="1">
      <c r="A105" s="67" t="s">
        <v>75</v>
      </c>
      <c r="B105" s="1260" t="s">
        <v>76</v>
      </c>
      <c r="C105" s="1261"/>
      <c r="D105" s="1262"/>
      <c r="E105" s="39"/>
      <c r="F105" s="1264" t="s">
        <v>77</v>
      </c>
      <c r="G105" s="1264"/>
      <c r="H105" s="1264"/>
      <c r="I105" s="1264"/>
      <c r="J105" s="1264"/>
      <c r="K105" s="1264"/>
      <c r="L105" s="1264"/>
      <c r="M105" s="1264"/>
      <c r="N105" s="1264"/>
      <c r="O105" s="1264"/>
      <c r="P105" s="1264"/>
      <c r="Q105" s="1265" t="s">
        <v>78</v>
      </c>
      <c r="R105" s="1266"/>
      <c r="S105" s="1267"/>
      <c r="T105" s="1290"/>
      <c r="U105" s="41"/>
      <c r="V105" s="42"/>
      <c r="W105" s="43"/>
      <c r="X105" s="44"/>
      <c r="Y105" s="74"/>
      <c r="Z105" s="1270"/>
      <c r="AA105" s="1271"/>
      <c r="AB105" s="1272"/>
      <c r="AC105" s="22"/>
      <c r="AD105" s="732" t="s">
        <v>79</v>
      </c>
      <c r="AF105" s="36"/>
      <c r="AG105" s="37"/>
    </row>
    <row r="106" spans="1:54" ht="66" customHeight="1" thickBot="1">
      <c r="A106" s="45"/>
      <c r="B106" s="1273" t="s">
        <v>80</v>
      </c>
      <c r="C106" s="1274"/>
      <c r="D106" s="1275"/>
      <c r="E106" s="1273" t="s">
        <v>81</v>
      </c>
      <c r="F106" s="1274"/>
      <c r="G106" s="1275"/>
      <c r="H106" s="1273" t="s">
        <v>82</v>
      </c>
      <c r="I106" s="1274"/>
      <c r="J106" s="1275"/>
      <c r="K106" s="1284" t="s">
        <v>83</v>
      </c>
      <c r="L106" s="1284"/>
      <c r="M106" s="1284"/>
      <c r="N106" s="1285" t="s">
        <v>84</v>
      </c>
      <c r="O106" s="1286"/>
      <c r="P106" s="1287"/>
      <c r="Q106" s="1285" t="s">
        <v>85</v>
      </c>
      <c r="R106" s="1286"/>
      <c r="S106" s="1287"/>
      <c r="T106" s="1268" t="s">
        <v>86</v>
      </c>
      <c r="U106" s="26"/>
      <c r="V106" s="1281" t="s">
        <v>87</v>
      </c>
      <c r="W106" s="1282"/>
      <c r="X106" s="1288"/>
      <c r="Y106" s="69"/>
      <c r="Z106" s="1281" t="s">
        <v>88</v>
      </c>
      <c r="AA106" s="1282"/>
      <c r="AB106" s="1283"/>
      <c r="AC106" s="27"/>
      <c r="AD106" s="54" t="s">
        <v>89</v>
      </c>
      <c r="AF106" s="22"/>
      <c r="AG106" s="24"/>
      <c r="AI106" s="1276" t="s">
        <v>90</v>
      </c>
      <c r="AJ106" s="1276"/>
      <c r="AK106" s="1276"/>
      <c r="AL106" s="1276"/>
      <c r="AM106" s="1276"/>
      <c r="AN106" s="1276"/>
      <c r="AO106" s="1276"/>
      <c r="AP106" s="27"/>
      <c r="AS106" s="27"/>
      <c r="AT106" s="27"/>
    </row>
    <row r="107" spans="1:54" ht="87" customHeight="1" thickBot="1">
      <c r="A107" s="50" t="s">
        <v>17</v>
      </c>
      <c r="B107" s="1186" t="s">
        <v>91</v>
      </c>
      <c r="C107" s="498"/>
      <c r="D107" s="707" t="s">
        <v>55</v>
      </c>
      <c r="E107" s="1185" t="s">
        <v>91</v>
      </c>
      <c r="F107" s="1184" t="s">
        <v>92</v>
      </c>
      <c r="G107" s="68" t="s">
        <v>55</v>
      </c>
      <c r="H107" s="1187" t="s">
        <v>91</v>
      </c>
      <c r="I107" s="1188" t="s">
        <v>92</v>
      </c>
      <c r="J107" s="71" t="s">
        <v>55</v>
      </c>
      <c r="K107" s="1189" t="s">
        <v>91</v>
      </c>
      <c r="L107" s="1190" t="s">
        <v>92</v>
      </c>
      <c r="M107" s="743" t="s">
        <v>55</v>
      </c>
      <c r="N107" s="1191" t="s">
        <v>91</v>
      </c>
      <c r="O107" s="1190" t="s">
        <v>92</v>
      </c>
      <c r="P107" s="676" t="s">
        <v>55</v>
      </c>
      <c r="Q107" s="1191" t="s">
        <v>91</v>
      </c>
      <c r="R107" s="1184" t="s">
        <v>92</v>
      </c>
      <c r="S107" s="71" t="s">
        <v>55</v>
      </c>
      <c r="T107" s="1269"/>
      <c r="V107" s="1192" t="s">
        <v>91</v>
      </c>
      <c r="W107" s="1193" t="s">
        <v>92</v>
      </c>
      <c r="X107" s="796" t="s">
        <v>55</v>
      </c>
      <c r="Y107" s="70"/>
      <c r="Z107" s="46" t="s">
        <v>91</v>
      </c>
      <c r="AA107" s="1194" t="s">
        <v>92</v>
      </c>
      <c r="AB107" s="97" t="s">
        <v>55</v>
      </c>
      <c r="AD107" s="50" t="s">
        <v>17</v>
      </c>
      <c r="AE107" s="1195" t="s">
        <v>93</v>
      </c>
      <c r="AF107" s="1196" t="s">
        <v>94</v>
      </c>
      <c r="AG107" s="29" t="s">
        <v>95</v>
      </c>
      <c r="AP107" s="27"/>
      <c r="AR107" s="48"/>
      <c r="AS107" s="48"/>
      <c r="AT107" s="48"/>
      <c r="AU107" s="27"/>
      <c r="AY107" s="27"/>
      <c r="AZ107" s="27"/>
      <c r="BA107" s="27"/>
      <c r="BB107" s="27"/>
    </row>
    <row r="108" spans="1:54" ht="24.6" customHeight="1">
      <c r="A108" s="494" t="str">
        <f t="shared" ref="A108:A135" si="8">A7</f>
        <v>Eastern Florida State College</v>
      </c>
      <c r="B108" s="590">
        <v>1066</v>
      </c>
      <c r="C108" s="72"/>
      <c r="D108" s="1177">
        <f t="shared" ref="D108:D135" si="9">B108+C108</f>
        <v>1066</v>
      </c>
      <c r="E108" s="1182">
        <v>4721.7054560124652</v>
      </c>
      <c r="F108" s="591">
        <v>154.0791135718658</v>
      </c>
      <c r="G108" s="512">
        <f t="shared" ref="G108:G135" si="10">E108+F108</f>
        <v>4875.7845695843307</v>
      </c>
      <c r="H108" s="592">
        <v>1647.7344689860929</v>
      </c>
      <c r="I108" s="593">
        <v>40.223762090371011</v>
      </c>
      <c r="J108" s="512">
        <f>H108+I108</f>
        <v>1687.958231076464</v>
      </c>
      <c r="K108" s="594">
        <v>145.02542025420254</v>
      </c>
      <c r="L108" s="595">
        <v>15.974579745797456</v>
      </c>
      <c r="M108" s="66">
        <f t="shared" ref="M108:M135" si="11">K108+L108</f>
        <v>161</v>
      </c>
      <c r="N108" s="594">
        <v>0</v>
      </c>
      <c r="O108" s="595">
        <v>0</v>
      </c>
      <c r="P108" s="66">
        <f t="shared" ref="P108:P135" si="12">N108+O108</f>
        <v>0</v>
      </c>
      <c r="Q108" s="594">
        <v>286.65890570430736</v>
      </c>
      <c r="R108" s="596">
        <v>13.484284051222351</v>
      </c>
      <c r="S108" s="512">
        <f t="shared" ref="S108:S135" si="13">Q108+R108</f>
        <v>300.1431897555297</v>
      </c>
      <c r="T108" s="66">
        <f t="shared" ref="T108:T135" si="14">D108+G108+J108+M108+P108+S108</f>
        <v>8090.8859904163246</v>
      </c>
      <c r="V108" s="797">
        <f>X108-W108</f>
        <v>0</v>
      </c>
      <c r="W108" s="597">
        <v>0</v>
      </c>
      <c r="X108" s="598">
        <v>0</v>
      </c>
      <c r="Y108" s="95"/>
      <c r="Z108" s="517">
        <f>AB108-AA108</f>
        <v>0</v>
      </c>
      <c r="AA108" s="599">
        <v>0</v>
      </c>
      <c r="AB108" s="798">
        <f t="shared" ref="AB108:AB135" si="15">AG108</f>
        <v>0</v>
      </c>
      <c r="AD108" s="494" t="str">
        <f t="shared" ref="AD108:AD135" si="16">A108</f>
        <v>Eastern Florida State College</v>
      </c>
      <c r="AE108" s="600">
        <v>0</v>
      </c>
      <c r="AF108" s="600">
        <v>0</v>
      </c>
      <c r="AG108" s="519">
        <f t="shared" ref="AG108:AG135" si="17">AE108+AF108</f>
        <v>0</v>
      </c>
      <c r="AI108" s="1263" t="s">
        <v>96</v>
      </c>
      <c r="AJ108" s="1263"/>
      <c r="AK108" s="1263"/>
      <c r="AL108" s="1263"/>
      <c r="AM108" s="1263"/>
      <c r="AN108" s="1263"/>
      <c r="AO108" s="52">
        <f>X136+AB136</f>
        <v>3533</v>
      </c>
      <c r="AP108" s="27"/>
      <c r="AR108" s="48"/>
      <c r="AS108" s="48"/>
      <c r="AT108" s="48"/>
      <c r="AU108" s="27"/>
      <c r="AY108" s="27"/>
      <c r="AZ108" s="27"/>
      <c r="BA108" s="27"/>
      <c r="BB108" s="27"/>
    </row>
    <row r="109" spans="1:54" ht="25.35" customHeight="1">
      <c r="A109" s="799" t="str">
        <f t="shared" si="8"/>
        <v>Broward College</v>
      </c>
      <c r="B109" s="764">
        <v>1427</v>
      </c>
      <c r="C109" s="776"/>
      <c r="D109" s="1178">
        <f t="shared" si="9"/>
        <v>1427</v>
      </c>
      <c r="E109" s="1181">
        <v>12875.571466035677</v>
      </c>
      <c r="F109" s="778">
        <v>533.3864488404389</v>
      </c>
      <c r="G109" s="777">
        <f t="shared" si="10"/>
        <v>13408.957914876117</v>
      </c>
      <c r="H109" s="779">
        <v>6034.6291051766975</v>
      </c>
      <c r="I109" s="780">
        <v>265.43929293889244</v>
      </c>
      <c r="J109" s="777">
        <f t="shared" ref="J109:J135" si="18">H109+I109</f>
        <v>6300.0683981155898</v>
      </c>
      <c r="K109" s="800">
        <v>586.68036697247703</v>
      </c>
      <c r="L109" s="765">
        <v>65.31963302752294</v>
      </c>
      <c r="M109" s="801">
        <f t="shared" si="11"/>
        <v>652</v>
      </c>
      <c r="N109" s="800">
        <v>30.187265917602996</v>
      </c>
      <c r="O109" s="765">
        <v>0.81273408239700373</v>
      </c>
      <c r="P109" s="801">
        <f t="shared" si="12"/>
        <v>31</v>
      </c>
      <c r="Q109" s="800">
        <v>217.19872669395178</v>
      </c>
      <c r="R109" s="781">
        <v>2.8012733060482033</v>
      </c>
      <c r="S109" s="777">
        <f t="shared" si="13"/>
        <v>220</v>
      </c>
      <c r="T109" s="801">
        <f t="shared" si="14"/>
        <v>22039.026312991708</v>
      </c>
      <c r="V109" s="797">
        <f t="shared" ref="V109:V135" si="19">X109-W109</f>
        <v>0</v>
      </c>
      <c r="W109" s="781">
        <v>0</v>
      </c>
      <c r="X109" s="802">
        <v>0</v>
      </c>
      <c r="Y109" s="95"/>
      <c r="Z109" s="782">
        <f t="shared" ref="Z109:Z135" si="20">AB109-AA109</f>
        <v>0</v>
      </c>
      <c r="AA109" s="803">
        <v>0</v>
      </c>
      <c r="AB109" s="798">
        <f t="shared" si="15"/>
        <v>0</v>
      </c>
      <c r="AD109" s="499" t="str">
        <f t="shared" si="16"/>
        <v>Broward College</v>
      </c>
      <c r="AE109" s="804">
        <v>0</v>
      </c>
      <c r="AF109" s="804">
        <v>0</v>
      </c>
      <c r="AG109" s="777">
        <f t="shared" si="17"/>
        <v>0</v>
      </c>
      <c r="AI109" s="1263" t="s">
        <v>97</v>
      </c>
      <c r="AJ109" s="1263"/>
      <c r="AK109" s="1263"/>
      <c r="AL109" s="1263"/>
      <c r="AM109" s="1263"/>
      <c r="AN109" s="1263"/>
      <c r="AO109" s="601">
        <v>29725.086210314734</v>
      </c>
      <c r="AP109" s="27"/>
      <c r="AR109" s="520"/>
      <c r="AS109" s="520"/>
      <c r="AT109" s="520"/>
      <c r="AU109" s="520"/>
      <c r="AV109" s="520"/>
      <c r="AW109" s="520"/>
      <c r="AX109" s="520"/>
      <c r="AY109" s="27"/>
      <c r="AZ109" s="27"/>
      <c r="BA109" s="27"/>
      <c r="BB109" s="27"/>
    </row>
    <row r="110" spans="1:54" ht="25.35" customHeight="1">
      <c r="A110" s="805" t="str">
        <f t="shared" si="8"/>
        <v>College of Central Florida</v>
      </c>
      <c r="B110" s="764">
        <v>318</v>
      </c>
      <c r="C110" s="776"/>
      <c r="D110" s="1178">
        <f t="shared" si="9"/>
        <v>318</v>
      </c>
      <c r="E110" s="1181">
        <v>2128.855441397814</v>
      </c>
      <c r="F110" s="778">
        <v>106.2150382828349</v>
      </c>
      <c r="G110" s="777">
        <f t="shared" si="10"/>
        <v>2235.070479680649</v>
      </c>
      <c r="H110" s="779">
        <v>1087.3018998538573</v>
      </c>
      <c r="I110" s="780">
        <v>44.683639720021532</v>
      </c>
      <c r="J110" s="777">
        <f t="shared" si="18"/>
        <v>1131.9855395738789</v>
      </c>
      <c r="K110" s="800">
        <v>56.390243902439025</v>
      </c>
      <c r="L110" s="765">
        <v>11.609756097560977</v>
      </c>
      <c r="M110" s="801">
        <f t="shared" si="11"/>
        <v>68</v>
      </c>
      <c r="N110" s="800">
        <v>0</v>
      </c>
      <c r="O110" s="765">
        <v>0</v>
      </c>
      <c r="P110" s="801">
        <f t="shared" si="12"/>
        <v>0</v>
      </c>
      <c r="Q110" s="800">
        <v>145.1</v>
      </c>
      <c r="R110" s="781">
        <v>7.4</v>
      </c>
      <c r="S110" s="777">
        <f t="shared" si="13"/>
        <v>152.5</v>
      </c>
      <c r="T110" s="801">
        <f t="shared" si="14"/>
        <v>3905.5560192545281</v>
      </c>
      <c r="V110" s="797">
        <f t="shared" si="19"/>
        <v>0</v>
      </c>
      <c r="W110" s="781">
        <v>0</v>
      </c>
      <c r="X110" s="802">
        <v>0</v>
      </c>
      <c r="Y110" s="95"/>
      <c r="Z110" s="782">
        <f t="shared" si="20"/>
        <v>2.836956521739129</v>
      </c>
      <c r="AA110" s="803">
        <v>24.163043478260871</v>
      </c>
      <c r="AB110" s="798">
        <f t="shared" si="15"/>
        <v>27</v>
      </c>
      <c r="AD110" s="805" t="str">
        <f t="shared" si="16"/>
        <v>College of Central Florida</v>
      </c>
      <c r="AE110" s="804">
        <v>17</v>
      </c>
      <c r="AF110" s="804">
        <v>10</v>
      </c>
      <c r="AG110" s="777">
        <f t="shared" si="17"/>
        <v>27</v>
      </c>
      <c r="AI110" s="1263" t="s">
        <v>98</v>
      </c>
      <c r="AJ110" s="1263"/>
      <c r="AK110" s="1263"/>
      <c r="AL110" s="1263"/>
      <c r="AM110" s="1263"/>
      <c r="AN110" s="1263"/>
      <c r="AO110" s="719">
        <v>4933</v>
      </c>
      <c r="AP110" s="27"/>
      <c r="AR110" s="27"/>
      <c r="AS110" s="27"/>
      <c r="AT110" s="27"/>
      <c r="AU110" s="27"/>
      <c r="AV110" s="27"/>
      <c r="AW110" s="27"/>
      <c r="AX110" s="27"/>
      <c r="AY110" s="27"/>
      <c r="AZ110" s="27"/>
      <c r="BA110" s="27"/>
      <c r="BB110" s="27"/>
    </row>
    <row r="111" spans="1:54" ht="25.35" customHeight="1">
      <c r="A111" s="805" t="str">
        <f t="shared" si="8"/>
        <v>Chipola College</v>
      </c>
      <c r="B111" s="764">
        <v>156</v>
      </c>
      <c r="C111" s="776"/>
      <c r="D111" s="1178">
        <f t="shared" si="9"/>
        <v>156</v>
      </c>
      <c r="E111" s="1181">
        <v>565.48333711176599</v>
      </c>
      <c r="F111" s="778">
        <v>45.173996826116529</v>
      </c>
      <c r="G111" s="777">
        <f t="shared" si="10"/>
        <v>610.65733393788253</v>
      </c>
      <c r="H111" s="779">
        <v>180.86338797814207</v>
      </c>
      <c r="I111" s="780">
        <v>6.0409836065573765</v>
      </c>
      <c r="J111" s="777">
        <f t="shared" si="18"/>
        <v>186.90437158469945</v>
      </c>
      <c r="K111" s="800">
        <v>1.3235294117647058</v>
      </c>
      <c r="L111" s="765">
        <v>1.6764705882352942</v>
      </c>
      <c r="M111" s="801">
        <f t="shared" si="11"/>
        <v>3</v>
      </c>
      <c r="N111" s="800">
        <v>0</v>
      </c>
      <c r="O111" s="765">
        <v>0</v>
      </c>
      <c r="P111" s="801">
        <f t="shared" si="12"/>
        <v>0</v>
      </c>
      <c r="Q111" s="800">
        <v>137.57164404223229</v>
      </c>
      <c r="R111" s="781">
        <v>0.84464555052790347</v>
      </c>
      <c r="S111" s="777">
        <f t="shared" si="13"/>
        <v>138.41628959276019</v>
      </c>
      <c r="T111" s="801">
        <f t="shared" si="14"/>
        <v>1094.9779951153421</v>
      </c>
      <c r="V111" s="797">
        <f t="shared" si="19"/>
        <v>0</v>
      </c>
      <c r="W111" s="781">
        <v>0</v>
      </c>
      <c r="X111" s="802">
        <v>0</v>
      </c>
      <c r="Y111" s="95"/>
      <c r="Z111" s="782">
        <f t="shared" si="20"/>
        <v>0</v>
      </c>
      <c r="AA111" s="803">
        <v>0</v>
      </c>
      <c r="AB111" s="798">
        <f t="shared" si="15"/>
        <v>0</v>
      </c>
      <c r="AD111" s="805" t="str">
        <f t="shared" si="16"/>
        <v>Chipola College</v>
      </c>
      <c r="AE111" s="804">
        <v>0</v>
      </c>
      <c r="AF111" s="804">
        <v>0</v>
      </c>
      <c r="AG111" s="777">
        <f t="shared" si="17"/>
        <v>0</v>
      </c>
      <c r="AI111" s="48" t="s">
        <v>55</v>
      </c>
      <c r="AJ111" s="48"/>
      <c r="AK111" s="48"/>
      <c r="AL111" s="48"/>
      <c r="AM111" s="48"/>
      <c r="AN111" s="48"/>
      <c r="AO111" s="51">
        <f>SUM(AO108:AO110)</f>
        <v>38191.086210314737</v>
      </c>
      <c r="AP111" s="27"/>
      <c r="AR111" s="520"/>
      <c r="AS111" s="520"/>
      <c r="AT111" s="520"/>
      <c r="AU111" s="520"/>
      <c r="AV111" s="520"/>
      <c r="AW111" s="520"/>
      <c r="AX111" s="520"/>
    </row>
    <row r="112" spans="1:54" ht="25.35" customHeight="1">
      <c r="A112" s="805" t="str">
        <f t="shared" si="8"/>
        <v>Daytona State College</v>
      </c>
      <c r="B112" s="764">
        <v>1010</v>
      </c>
      <c r="C112" s="776"/>
      <c r="D112" s="1178">
        <f t="shared" si="9"/>
        <v>1010</v>
      </c>
      <c r="E112" s="1181">
        <v>4435.0443421911568</v>
      </c>
      <c r="F112" s="778">
        <v>211.0610600729218</v>
      </c>
      <c r="G112" s="777">
        <f t="shared" si="10"/>
        <v>4646.1054022640783</v>
      </c>
      <c r="H112" s="779">
        <v>2030.3511497824734</v>
      </c>
      <c r="I112" s="780">
        <v>64.400248601615914</v>
      </c>
      <c r="J112" s="777">
        <f t="shared" si="18"/>
        <v>2094.7513983840895</v>
      </c>
      <c r="K112" s="800">
        <v>71.283497884344143</v>
      </c>
      <c r="L112" s="765">
        <v>4.7165021156558531</v>
      </c>
      <c r="M112" s="801">
        <f t="shared" si="11"/>
        <v>76</v>
      </c>
      <c r="N112" s="800">
        <v>2</v>
      </c>
      <c r="O112" s="765">
        <v>0</v>
      </c>
      <c r="P112" s="801">
        <f t="shared" si="12"/>
        <v>2</v>
      </c>
      <c r="Q112" s="800">
        <v>560.96504455106231</v>
      </c>
      <c r="R112" s="781">
        <v>19.329677861549005</v>
      </c>
      <c r="S112" s="777">
        <f t="shared" si="13"/>
        <v>580.29472241261135</v>
      </c>
      <c r="T112" s="801">
        <f t="shared" si="14"/>
        <v>8409.1515230607783</v>
      </c>
      <c r="V112" s="797">
        <f t="shared" si="19"/>
        <v>3</v>
      </c>
      <c r="W112" s="781">
        <v>0</v>
      </c>
      <c r="X112" s="802">
        <v>3</v>
      </c>
      <c r="Y112" s="95"/>
      <c r="Z112" s="782">
        <f t="shared" si="20"/>
        <v>91</v>
      </c>
      <c r="AA112" s="803">
        <v>0</v>
      </c>
      <c r="AB112" s="798">
        <f t="shared" si="15"/>
        <v>91</v>
      </c>
      <c r="AD112" s="805" t="str">
        <f t="shared" si="16"/>
        <v>Daytona State College</v>
      </c>
      <c r="AE112" s="804">
        <v>76</v>
      </c>
      <c r="AF112" s="804">
        <v>15</v>
      </c>
      <c r="AG112" s="777">
        <f t="shared" si="17"/>
        <v>91</v>
      </c>
      <c r="AP112" s="27"/>
      <c r="AS112" s="48"/>
      <c r="AT112" s="27"/>
      <c r="AU112" s="27"/>
      <c r="AV112" s="27"/>
      <c r="AW112" s="27"/>
    </row>
    <row r="113" spans="1:49" ht="25.35" customHeight="1">
      <c r="A113" s="805" t="str">
        <f t="shared" si="8"/>
        <v>Florida SouthWestern State College</v>
      </c>
      <c r="B113" s="764">
        <v>662</v>
      </c>
      <c r="C113" s="776"/>
      <c r="D113" s="1178">
        <f t="shared" si="9"/>
        <v>662</v>
      </c>
      <c r="E113" s="1181">
        <v>6741.2207668698393</v>
      </c>
      <c r="F113" s="778">
        <v>238.71359097393329</v>
      </c>
      <c r="G113" s="777">
        <f t="shared" si="10"/>
        <v>6979.9343578437729</v>
      </c>
      <c r="H113" s="779">
        <v>704.01878193619666</v>
      </c>
      <c r="I113" s="780">
        <v>10.11407264190029</v>
      </c>
      <c r="J113" s="777">
        <f t="shared" si="18"/>
        <v>714.13285457809695</v>
      </c>
      <c r="K113" s="800">
        <v>142.04746580852776</v>
      </c>
      <c r="L113" s="765">
        <v>15.952534191472242</v>
      </c>
      <c r="M113" s="801">
        <f t="shared" si="11"/>
        <v>158</v>
      </c>
      <c r="N113" s="800">
        <v>0</v>
      </c>
      <c r="O113" s="765">
        <v>0</v>
      </c>
      <c r="P113" s="801">
        <f t="shared" si="12"/>
        <v>0</v>
      </c>
      <c r="Q113" s="800">
        <v>32.29032258064516</v>
      </c>
      <c r="R113" s="781">
        <v>0.70967741935483863</v>
      </c>
      <c r="S113" s="777">
        <f t="shared" si="13"/>
        <v>33</v>
      </c>
      <c r="T113" s="801">
        <f t="shared" si="14"/>
        <v>8547.067212421869</v>
      </c>
      <c r="V113" s="797">
        <f t="shared" si="19"/>
        <v>0</v>
      </c>
      <c r="W113" s="781">
        <v>0</v>
      </c>
      <c r="X113" s="802">
        <v>0</v>
      </c>
      <c r="Y113" s="95"/>
      <c r="Z113" s="782">
        <f t="shared" si="20"/>
        <v>0</v>
      </c>
      <c r="AA113" s="803">
        <v>0</v>
      </c>
      <c r="AB113" s="798">
        <f t="shared" si="15"/>
        <v>0</v>
      </c>
      <c r="AD113" s="805" t="str">
        <f t="shared" si="16"/>
        <v>Florida SouthWestern State College</v>
      </c>
      <c r="AE113" s="804">
        <v>0</v>
      </c>
      <c r="AF113" s="804">
        <v>0</v>
      </c>
      <c r="AG113" s="777">
        <f t="shared" si="17"/>
        <v>0</v>
      </c>
      <c r="AI113" s="48" t="s">
        <v>755</v>
      </c>
      <c r="AJ113" s="27"/>
      <c r="AK113" s="27"/>
      <c r="AL113" s="27"/>
      <c r="AM113" s="27"/>
      <c r="AN113" s="27"/>
      <c r="AO113" s="601">
        <v>296925</v>
      </c>
      <c r="AR113" s="48"/>
      <c r="AS113" s="48"/>
      <c r="AT113" s="27"/>
      <c r="AU113" s="27"/>
      <c r="AV113" s="27"/>
      <c r="AW113" s="27"/>
    </row>
    <row r="114" spans="1:49" ht="25.35" customHeight="1">
      <c r="A114" s="805" t="str">
        <f t="shared" si="8"/>
        <v>Florida State College at Jacksonville</v>
      </c>
      <c r="B114" s="764">
        <v>1796</v>
      </c>
      <c r="C114" s="776"/>
      <c r="D114" s="1178">
        <f t="shared" si="9"/>
        <v>1796</v>
      </c>
      <c r="E114" s="1181">
        <v>7622.6212345875574</v>
      </c>
      <c r="F114" s="778">
        <v>290.67087284922422</v>
      </c>
      <c r="G114" s="777">
        <f t="shared" si="10"/>
        <v>7913.2921074367814</v>
      </c>
      <c r="H114" s="779">
        <v>3266.8914719760614</v>
      </c>
      <c r="I114" s="780">
        <v>100.06444930371734</v>
      </c>
      <c r="J114" s="777">
        <f t="shared" si="18"/>
        <v>3366.955921279779</v>
      </c>
      <c r="K114" s="800">
        <v>374.02350551363901</v>
      </c>
      <c r="L114" s="765">
        <v>20.976494486360998</v>
      </c>
      <c r="M114" s="801">
        <f t="shared" si="11"/>
        <v>395</v>
      </c>
      <c r="N114" s="800">
        <v>10</v>
      </c>
      <c r="O114" s="765">
        <v>0</v>
      </c>
      <c r="P114" s="801">
        <f t="shared" si="12"/>
        <v>10</v>
      </c>
      <c r="Q114" s="800">
        <v>656</v>
      </c>
      <c r="R114" s="781">
        <v>58.8</v>
      </c>
      <c r="S114" s="777">
        <f t="shared" si="13"/>
        <v>714.8</v>
      </c>
      <c r="T114" s="801">
        <f t="shared" si="14"/>
        <v>14196.048028716559</v>
      </c>
      <c r="V114" s="797">
        <f t="shared" si="19"/>
        <v>0</v>
      </c>
      <c r="W114" s="781">
        <v>0</v>
      </c>
      <c r="X114" s="802">
        <v>0</v>
      </c>
      <c r="Y114" s="95"/>
      <c r="Z114" s="782">
        <f t="shared" si="20"/>
        <v>417.21339266793814</v>
      </c>
      <c r="AA114" s="803">
        <v>52.786607332061884</v>
      </c>
      <c r="AB114" s="798">
        <f t="shared" si="15"/>
        <v>470</v>
      </c>
      <c r="AD114" s="805" t="str">
        <f t="shared" si="16"/>
        <v>Florida State College at Jacksonville</v>
      </c>
      <c r="AE114" s="804">
        <v>460</v>
      </c>
      <c r="AF114" s="804">
        <v>10</v>
      </c>
      <c r="AG114" s="777">
        <f t="shared" si="17"/>
        <v>470</v>
      </c>
      <c r="AM114" s="27"/>
      <c r="AN114" s="27"/>
      <c r="AO114" s="720">
        <f>AO111</f>
        <v>38191.086210314737</v>
      </c>
      <c r="AP114" s="27"/>
      <c r="AQ114" s="48"/>
      <c r="AR114" s="48"/>
      <c r="AS114" s="48"/>
      <c r="AT114" s="27"/>
      <c r="AU114" s="27"/>
      <c r="AV114" s="27"/>
      <c r="AW114" s="27"/>
    </row>
    <row r="115" spans="1:49" ht="25.35" customHeight="1">
      <c r="A115" s="805" t="str">
        <f t="shared" si="8"/>
        <v>College of the Florida Keys</v>
      </c>
      <c r="B115" s="764">
        <v>42</v>
      </c>
      <c r="C115" s="776"/>
      <c r="D115" s="1178">
        <f t="shared" si="9"/>
        <v>42</v>
      </c>
      <c r="E115" s="1181">
        <v>326.25844975214062</v>
      </c>
      <c r="F115" s="778">
        <v>31.700090130689496</v>
      </c>
      <c r="G115" s="777">
        <f t="shared" si="10"/>
        <v>357.95853988283011</v>
      </c>
      <c r="H115" s="779">
        <v>203.39622641509433</v>
      </c>
      <c r="I115" s="780">
        <v>24.940251572327043</v>
      </c>
      <c r="J115" s="777">
        <f t="shared" si="18"/>
        <v>228.33647798742138</v>
      </c>
      <c r="K115" s="800">
        <v>9.7278911564625847</v>
      </c>
      <c r="L115" s="765">
        <v>1.272108843537415</v>
      </c>
      <c r="M115" s="801">
        <f t="shared" si="11"/>
        <v>11</v>
      </c>
      <c r="N115" s="800">
        <v>0</v>
      </c>
      <c r="O115" s="765">
        <v>0</v>
      </c>
      <c r="P115" s="801">
        <f t="shared" si="12"/>
        <v>0</v>
      </c>
      <c r="Q115" s="800">
        <v>41.831187410586551</v>
      </c>
      <c r="R115" s="781">
        <v>1.1688125894134476</v>
      </c>
      <c r="S115" s="777">
        <f t="shared" si="13"/>
        <v>43</v>
      </c>
      <c r="T115" s="801">
        <f t="shared" si="14"/>
        <v>682.29501787025151</v>
      </c>
      <c r="V115" s="797">
        <f t="shared" si="19"/>
        <v>0</v>
      </c>
      <c r="W115" s="781">
        <v>0</v>
      </c>
      <c r="X115" s="802">
        <v>0</v>
      </c>
      <c r="Y115" s="95"/>
      <c r="Z115" s="782">
        <f t="shared" si="20"/>
        <v>0</v>
      </c>
      <c r="AA115" s="803">
        <v>0</v>
      </c>
      <c r="AB115" s="798">
        <f t="shared" si="15"/>
        <v>0</v>
      </c>
      <c r="AD115" s="805" t="str">
        <f t="shared" si="16"/>
        <v>College of the Florida Keys</v>
      </c>
      <c r="AE115" s="804">
        <v>0</v>
      </c>
      <c r="AF115" s="804">
        <v>0</v>
      </c>
      <c r="AG115" s="777">
        <f t="shared" si="17"/>
        <v>0</v>
      </c>
      <c r="AI115" s="1259" t="s">
        <v>99</v>
      </c>
      <c r="AJ115" s="1259"/>
      <c r="AK115" s="1259"/>
      <c r="AL115" s="1259"/>
      <c r="AM115" s="1259"/>
      <c r="AN115" s="1259"/>
      <c r="AO115" s="501">
        <f>AO113-AO114</f>
        <v>258733.91378968526</v>
      </c>
      <c r="AP115" s="27"/>
      <c r="AQ115" s="27"/>
      <c r="AR115" s="27"/>
      <c r="AS115" s="27"/>
      <c r="AT115" s="27"/>
      <c r="AU115" s="27"/>
    </row>
    <row r="116" spans="1:49" ht="25.35" customHeight="1">
      <c r="A116" s="805" t="str">
        <f t="shared" si="8"/>
        <v>Gulf Coast State College</v>
      </c>
      <c r="B116" s="764">
        <v>127</v>
      </c>
      <c r="C116" s="776"/>
      <c r="D116" s="1178">
        <f t="shared" si="9"/>
        <v>127</v>
      </c>
      <c r="E116" s="1181">
        <v>1744.6578402622049</v>
      </c>
      <c r="F116" s="778">
        <v>88.940012075211314</v>
      </c>
      <c r="G116" s="777">
        <f t="shared" si="10"/>
        <v>1833.5978523374163</v>
      </c>
      <c r="H116" s="779">
        <v>507.80121002592909</v>
      </c>
      <c r="I116" s="780">
        <v>22.257216940363012</v>
      </c>
      <c r="J116" s="777">
        <f t="shared" si="18"/>
        <v>530.05842696629213</v>
      </c>
      <c r="K116" s="800">
        <v>28.084862385321102</v>
      </c>
      <c r="L116" s="765">
        <v>2.915137614678899</v>
      </c>
      <c r="M116" s="801">
        <f t="shared" si="11"/>
        <v>31</v>
      </c>
      <c r="N116" s="800">
        <v>0</v>
      </c>
      <c r="O116" s="765">
        <v>0</v>
      </c>
      <c r="P116" s="801">
        <f t="shared" si="12"/>
        <v>0</v>
      </c>
      <c r="Q116" s="800">
        <v>146.97419354838709</v>
      </c>
      <c r="R116" s="781">
        <v>5.025806451612902</v>
      </c>
      <c r="S116" s="777">
        <f t="shared" si="13"/>
        <v>152</v>
      </c>
      <c r="T116" s="801">
        <f t="shared" si="14"/>
        <v>2673.6562793037083</v>
      </c>
      <c r="V116" s="797">
        <f t="shared" si="19"/>
        <v>0</v>
      </c>
      <c r="W116" s="781">
        <v>0</v>
      </c>
      <c r="X116" s="802">
        <v>0</v>
      </c>
      <c r="Y116" s="95"/>
      <c r="Z116" s="782">
        <f t="shared" si="20"/>
        <v>0</v>
      </c>
      <c r="AA116" s="803">
        <v>0</v>
      </c>
      <c r="AB116" s="798">
        <f t="shared" si="15"/>
        <v>0</v>
      </c>
      <c r="AD116" s="805" t="str">
        <f t="shared" si="16"/>
        <v>Gulf Coast State College</v>
      </c>
      <c r="AE116" s="804">
        <v>0</v>
      </c>
      <c r="AF116" s="804">
        <v>0</v>
      </c>
      <c r="AG116" s="777">
        <f t="shared" si="17"/>
        <v>0</v>
      </c>
      <c r="AP116" s="27"/>
      <c r="AQ116" s="27"/>
      <c r="AR116" s="27"/>
      <c r="AS116" s="27"/>
      <c r="AT116" s="27"/>
      <c r="AU116" s="27"/>
    </row>
    <row r="117" spans="1:49" ht="25.35" customHeight="1">
      <c r="A117" s="805" t="str">
        <f t="shared" si="8"/>
        <v>Hillsborough Community College</v>
      </c>
      <c r="B117" s="764">
        <v>0</v>
      </c>
      <c r="C117" s="776"/>
      <c r="D117" s="1178">
        <f t="shared" si="9"/>
        <v>0</v>
      </c>
      <c r="E117" s="1181">
        <v>8973.7230513965169</v>
      </c>
      <c r="F117" s="778">
        <v>369.13919329988545</v>
      </c>
      <c r="G117" s="777">
        <f t="shared" si="10"/>
        <v>9342.8622446964018</v>
      </c>
      <c r="H117" s="779">
        <v>4435.5521330411448</v>
      </c>
      <c r="I117" s="780">
        <v>163.82739058307902</v>
      </c>
      <c r="J117" s="777">
        <f t="shared" si="18"/>
        <v>4599.379523624224</v>
      </c>
      <c r="K117" s="800">
        <v>868.03043478260872</v>
      </c>
      <c r="L117" s="765">
        <v>55.969565217391299</v>
      </c>
      <c r="M117" s="801">
        <f t="shared" si="11"/>
        <v>924</v>
      </c>
      <c r="N117" s="800">
        <v>57.752665245202557</v>
      </c>
      <c r="O117" s="765">
        <v>0.24733475479744141</v>
      </c>
      <c r="P117" s="801">
        <f t="shared" si="12"/>
        <v>58</v>
      </c>
      <c r="Q117" s="800">
        <v>300.11161792326266</v>
      </c>
      <c r="R117" s="781">
        <v>0.88838207673732239</v>
      </c>
      <c r="S117" s="777">
        <f t="shared" si="13"/>
        <v>301</v>
      </c>
      <c r="T117" s="801">
        <f t="shared" si="14"/>
        <v>15225.241768320626</v>
      </c>
      <c r="V117" s="797">
        <f t="shared" si="19"/>
        <v>0</v>
      </c>
      <c r="W117" s="781">
        <v>0</v>
      </c>
      <c r="X117" s="802">
        <v>0</v>
      </c>
      <c r="Y117" s="95"/>
      <c r="Z117" s="782">
        <f t="shared" si="20"/>
        <v>0</v>
      </c>
      <c r="AA117" s="803">
        <v>0</v>
      </c>
      <c r="AB117" s="798">
        <f t="shared" si="15"/>
        <v>0</v>
      </c>
      <c r="AD117" s="805" t="str">
        <f t="shared" si="16"/>
        <v>Hillsborough Community College</v>
      </c>
      <c r="AE117" s="804">
        <v>0</v>
      </c>
      <c r="AF117" s="804">
        <v>0</v>
      </c>
      <c r="AG117" s="777">
        <f t="shared" si="17"/>
        <v>0</v>
      </c>
      <c r="AI117" s="1259" t="s">
        <v>756</v>
      </c>
      <c r="AJ117" s="1259"/>
      <c r="AK117" s="1259"/>
      <c r="AL117" s="1259"/>
      <c r="AM117" s="1259"/>
      <c r="AN117" s="1259"/>
      <c r="AO117" s="502">
        <f>AO111+AO115</f>
        <v>296925</v>
      </c>
      <c r="AP117" s="27"/>
      <c r="AQ117" s="27"/>
      <c r="AR117" s="27"/>
      <c r="AS117" s="27"/>
      <c r="AT117" s="27"/>
      <c r="AU117" s="27"/>
    </row>
    <row r="118" spans="1:49" ht="25.35" customHeight="1">
      <c r="A118" s="805" t="str">
        <f t="shared" si="8"/>
        <v>Indian River State College</v>
      </c>
      <c r="B118" s="764">
        <v>1504</v>
      </c>
      <c r="C118" s="776"/>
      <c r="D118" s="1178">
        <f t="shared" si="9"/>
        <v>1504</v>
      </c>
      <c r="E118" s="1181">
        <v>4034.1278419162418</v>
      </c>
      <c r="F118" s="778">
        <v>80.483129614501294</v>
      </c>
      <c r="G118" s="777">
        <f t="shared" si="10"/>
        <v>4114.610971530743</v>
      </c>
      <c r="H118" s="779">
        <v>2124.2269837928857</v>
      </c>
      <c r="I118" s="780">
        <v>32.284571669122293</v>
      </c>
      <c r="J118" s="777">
        <f t="shared" si="18"/>
        <v>2156.5115554620079</v>
      </c>
      <c r="K118" s="800">
        <v>31.995127892813642</v>
      </c>
      <c r="L118" s="765">
        <v>1.0048721071863582</v>
      </c>
      <c r="M118" s="801">
        <f t="shared" si="11"/>
        <v>33</v>
      </c>
      <c r="N118" s="800">
        <v>0</v>
      </c>
      <c r="O118" s="765">
        <v>0</v>
      </c>
      <c r="P118" s="801">
        <f t="shared" si="12"/>
        <v>0</v>
      </c>
      <c r="Q118" s="800">
        <v>653.09760895883778</v>
      </c>
      <c r="R118" s="781">
        <v>7.3022094430992741</v>
      </c>
      <c r="S118" s="777">
        <f t="shared" si="13"/>
        <v>660.39981840193707</v>
      </c>
      <c r="T118" s="801">
        <f t="shared" si="14"/>
        <v>8468.5223453946874</v>
      </c>
      <c r="V118" s="797">
        <f t="shared" si="19"/>
        <v>0</v>
      </c>
      <c r="W118" s="781">
        <v>0</v>
      </c>
      <c r="X118" s="802">
        <v>0</v>
      </c>
      <c r="Y118" s="95"/>
      <c r="Z118" s="782">
        <f t="shared" si="20"/>
        <v>668</v>
      </c>
      <c r="AA118" s="803">
        <v>0</v>
      </c>
      <c r="AB118" s="798">
        <f t="shared" si="15"/>
        <v>668</v>
      </c>
      <c r="AD118" s="805" t="str">
        <f t="shared" si="16"/>
        <v>Indian River State College</v>
      </c>
      <c r="AE118" s="804">
        <v>652</v>
      </c>
      <c r="AF118" s="804">
        <v>16</v>
      </c>
      <c r="AG118" s="777">
        <f t="shared" si="17"/>
        <v>668</v>
      </c>
      <c r="AM118" s="27"/>
      <c r="AN118" s="27"/>
      <c r="AO118" s="27"/>
      <c r="AP118" s="27"/>
      <c r="AQ118" s="27"/>
      <c r="AR118" s="27"/>
      <c r="AS118" s="27"/>
      <c r="AT118" s="27"/>
      <c r="AU118" s="27"/>
    </row>
    <row r="119" spans="1:49" ht="25.35" customHeight="1">
      <c r="A119" s="805" t="str">
        <f t="shared" si="8"/>
        <v>Florida Gateway College</v>
      </c>
      <c r="B119" s="764">
        <v>94</v>
      </c>
      <c r="C119" s="776"/>
      <c r="D119" s="1178">
        <f t="shared" si="9"/>
        <v>94</v>
      </c>
      <c r="E119" s="1181">
        <v>932.0876271300599</v>
      </c>
      <c r="F119" s="778">
        <v>6.6131204957230416</v>
      </c>
      <c r="G119" s="777">
        <f t="shared" si="10"/>
        <v>938.70074762578292</v>
      </c>
      <c r="H119" s="779">
        <v>375.76623922640317</v>
      </c>
      <c r="I119" s="780">
        <v>3.6066848854319953</v>
      </c>
      <c r="J119" s="777">
        <f t="shared" si="18"/>
        <v>379.37292411183518</v>
      </c>
      <c r="K119" s="800">
        <v>37.616161616161619</v>
      </c>
      <c r="L119" s="765">
        <v>0.38383838383838381</v>
      </c>
      <c r="M119" s="801">
        <f t="shared" si="11"/>
        <v>38</v>
      </c>
      <c r="N119" s="800">
        <v>12.614814814814816</v>
      </c>
      <c r="O119" s="765">
        <v>0.38518518518518519</v>
      </c>
      <c r="P119" s="801">
        <f t="shared" si="12"/>
        <v>13</v>
      </c>
      <c r="Q119" s="800">
        <v>330.11041126343093</v>
      </c>
      <c r="R119" s="781">
        <v>2.8803260466839569</v>
      </c>
      <c r="S119" s="777">
        <f t="shared" si="13"/>
        <v>332.99073731011487</v>
      </c>
      <c r="T119" s="801">
        <f t="shared" si="14"/>
        <v>1796.0644090477329</v>
      </c>
      <c r="V119" s="797">
        <f t="shared" si="19"/>
        <v>0</v>
      </c>
      <c r="W119" s="781">
        <v>0</v>
      </c>
      <c r="X119" s="802">
        <v>0</v>
      </c>
      <c r="Y119" s="95"/>
      <c r="Z119" s="782">
        <f t="shared" si="20"/>
        <v>0</v>
      </c>
      <c r="AA119" s="803">
        <v>0</v>
      </c>
      <c r="AB119" s="798">
        <f t="shared" si="15"/>
        <v>0</v>
      </c>
      <c r="AD119" s="805" t="str">
        <f t="shared" si="16"/>
        <v>Florida Gateway College</v>
      </c>
      <c r="AE119" s="804">
        <v>0</v>
      </c>
      <c r="AF119" s="804">
        <v>0</v>
      </c>
      <c r="AG119" s="777">
        <f t="shared" si="17"/>
        <v>0</v>
      </c>
    </row>
    <row r="120" spans="1:49" ht="25.35" customHeight="1">
      <c r="A120" s="805" t="str">
        <f t="shared" si="8"/>
        <v>Lake-Sumter State College</v>
      </c>
      <c r="B120" s="764">
        <v>120</v>
      </c>
      <c r="C120" s="776"/>
      <c r="D120" s="1178">
        <f t="shared" si="9"/>
        <v>120</v>
      </c>
      <c r="E120" s="1181">
        <v>1822.473470309325</v>
      </c>
      <c r="F120" s="778">
        <v>19.118198238880108</v>
      </c>
      <c r="G120" s="777">
        <f t="shared" si="10"/>
        <v>1841.591668548205</v>
      </c>
      <c r="H120" s="779">
        <v>401.16230366492147</v>
      </c>
      <c r="I120" s="780">
        <v>2.5727748691099479</v>
      </c>
      <c r="J120" s="777">
        <f t="shared" si="18"/>
        <v>403.7350785340314</v>
      </c>
      <c r="K120" s="800">
        <v>61.316455696202532</v>
      </c>
      <c r="L120" s="765">
        <v>1.6835443037974684</v>
      </c>
      <c r="M120" s="801">
        <f t="shared" si="11"/>
        <v>63</v>
      </c>
      <c r="N120" s="800">
        <v>0</v>
      </c>
      <c r="O120" s="765">
        <v>0</v>
      </c>
      <c r="P120" s="801">
        <f t="shared" si="12"/>
        <v>0</v>
      </c>
      <c r="Q120" s="800">
        <v>0</v>
      </c>
      <c r="R120" s="781">
        <v>0</v>
      </c>
      <c r="S120" s="777">
        <f t="shared" si="13"/>
        <v>0</v>
      </c>
      <c r="T120" s="801">
        <f t="shared" si="14"/>
        <v>2428.3267470822366</v>
      </c>
      <c r="V120" s="797">
        <f t="shared" si="19"/>
        <v>0</v>
      </c>
      <c r="W120" s="781">
        <v>0</v>
      </c>
      <c r="X120" s="802">
        <v>0</v>
      </c>
      <c r="Y120" s="95"/>
      <c r="Z120" s="782">
        <f t="shared" si="20"/>
        <v>0</v>
      </c>
      <c r="AA120" s="803">
        <v>0</v>
      </c>
      <c r="AB120" s="798">
        <f t="shared" si="15"/>
        <v>0</v>
      </c>
      <c r="AD120" s="805" t="str">
        <f t="shared" si="16"/>
        <v>Lake-Sumter State College</v>
      </c>
      <c r="AE120" s="804">
        <v>0</v>
      </c>
      <c r="AF120" s="804">
        <v>0</v>
      </c>
      <c r="AG120" s="777">
        <f t="shared" si="17"/>
        <v>0</v>
      </c>
    </row>
    <row r="121" spans="1:49" ht="25.35" customHeight="1">
      <c r="A121" s="805" t="str">
        <f t="shared" si="8"/>
        <v>State College of Florida, Manatee-Sarasota</v>
      </c>
      <c r="B121" s="764">
        <v>479</v>
      </c>
      <c r="C121" s="776"/>
      <c r="D121" s="1178">
        <f t="shared" si="9"/>
        <v>479</v>
      </c>
      <c r="E121" s="1181">
        <v>4468.0366168127903</v>
      </c>
      <c r="F121" s="778">
        <v>200.69468798349664</v>
      </c>
      <c r="G121" s="777">
        <f t="shared" si="10"/>
        <v>4668.7313047962871</v>
      </c>
      <c r="H121" s="779">
        <v>745.07665169980748</v>
      </c>
      <c r="I121" s="780">
        <v>20.470493906350228</v>
      </c>
      <c r="J121" s="777">
        <f t="shared" si="18"/>
        <v>765.54714560615776</v>
      </c>
      <c r="K121" s="800">
        <v>131.15574650912995</v>
      </c>
      <c r="L121" s="765">
        <v>9.8442534908700328</v>
      </c>
      <c r="M121" s="801">
        <f t="shared" si="11"/>
        <v>141</v>
      </c>
      <c r="N121" s="800">
        <v>24.609053497942387</v>
      </c>
      <c r="O121" s="765">
        <v>1.3909465020576131</v>
      </c>
      <c r="P121" s="801">
        <f t="shared" si="12"/>
        <v>26</v>
      </c>
      <c r="Q121" s="800">
        <v>0</v>
      </c>
      <c r="R121" s="781">
        <v>0</v>
      </c>
      <c r="S121" s="777">
        <f t="shared" si="13"/>
        <v>0</v>
      </c>
      <c r="T121" s="801">
        <f t="shared" si="14"/>
        <v>6080.2784504024448</v>
      </c>
      <c r="V121" s="797">
        <f t="shared" si="19"/>
        <v>0</v>
      </c>
      <c r="W121" s="781">
        <v>0</v>
      </c>
      <c r="X121" s="802">
        <v>0</v>
      </c>
      <c r="Y121" s="95"/>
      <c r="Z121" s="782">
        <f t="shared" si="20"/>
        <v>0</v>
      </c>
      <c r="AA121" s="803">
        <v>0</v>
      </c>
      <c r="AB121" s="798">
        <f t="shared" si="15"/>
        <v>0</v>
      </c>
      <c r="AD121" s="805" t="str">
        <f t="shared" si="16"/>
        <v>State College of Florida, Manatee-Sarasota</v>
      </c>
      <c r="AE121" s="804">
        <v>0</v>
      </c>
      <c r="AF121" s="804">
        <v>0</v>
      </c>
      <c r="AG121" s="777">
        <f t="shared" si="17"/>
        <v>0</v>
      </c>
    </row>
    <row r="122" spans="1:49" ht="25.35" customHeight="1">
      <c r="A122" s="805" t="str">
        <f t="shared" si="8"/>
        <v>Miami Dade College</v>
      </c>
      <c r="B122" s="764">
        <v>2515</v>
      </c>
      <c r="C122" s="776"/>
      <c r="D122" s="1178">
        <f t="shared" si="9"/>
        <v>2515</v>
      </c>
      <c r="E122" s="1181">
        <v>29295.910865430473</v>
      </c>
      <c r="F122" s="778">
        <v>1242.2551988461694</v>
      </c>
      <c r="G122" s="777">
        <f t="shared" si="10"/>
        <v>30538.166064276644</v>
      </c>
      <c r="H122" s="779">
        <v>3889.330824048981</v>
      </c>
      <c r="I122" s="780">
        <v>202.56496537187596</v>
      </c>
      <c r="J122" s="777">
        <f t="shared" si="18"/>
        <v>4091.895789420857</v>
      </c>
      <c r="K122" s="800">
        <v>829.58358495745267</v>
      </c>
      <c r="L122" s="765">
        <v>52.416415042547342</v>
      </c>
      <c r="M122" s="801">
        <f t="shared" si="11"/>
        <v>882</v>
      </c>
      <c r="N122" s="800">
        <v>38</v>
      </c>
      <c r="O122" s="765">
        <v>0</v>
      </c>
      <c r="P122" s="801">
        <f t="shared" si="12"/>
        <v>38</v>
      </c>
      <c r="Q122" s="800">
        <v>815.0712477396022</v>
      </c>
      <c r="R122" s="781">
        <v>15.928752260397831</v>
      </c>
      <c r="S122" s="777">
        <f t="shared" si="13"/>
        <v>831</v>
      </c>
      <c r="T122" s="801">
        <f t="shared" si="14"/>
        <v>38896.061853697502</v>
      </c>
      <c r="V122" s="797">
        <f t="shared" si="19"/>
        <v>0</v>
      </c>
      <c r="W122" s="781">
        <v>0</v>
      </c>
      <c r="X122" s="802">
        <v>0</v>
      </c>
      <c r="Y122" s="95"/>
      <c r="Z122" s="782">
        <f t="shared" si="20"/>
        <v>1.4901341077988945</v>
      </c>
      <c r="AA122" s="803">
        <v>1161.5098658922011</v>
      </c>
      <c r="AB122" s="798">
        <f t="shared" si="15"/>
        <v>1163</v>
      </c>
      <c r="AD122" s="805" t="str">
        <f t="shared" si="16"/>
        <v>Miami Dade College</v>
      </c>
      <c r="AE122" s="804">
        <v>1163</v>
      </c>
      <c r="AF122" s="804">
        <v>0</v>
      </c>
      <c r="AG122" s="777">
        <f t="shared" si="17"/>
        <v>1163</v>
      </c>
    </row>
    <row r="123" spans="1:49" ht="25.35" customHeight="1">
      <c r="A123" s="805" t="str">
        <f t="shared" si="8"/>
        <v>North Florida College</v>
      </c>
      <c r="B123" s="764">
        <v>44</v>
      </c>
      <c r="C123" s="776"/>
      <c r="D123" s="1178">
        <f t="shared" si="9"/>
        <v>44</v>
      </c>
      <c r="E123" s="1181">
        <v>352.67908054169641</v>
      </c>
      <c r="F123" s="778">
        <v>10.740021382751246</v>
      </c>
      <c r="G123" s="777">
        <f t="shared" si="10"/>
        <v>363.41910192444766</v>
      </c>
      <c r="H123" s="779">
        <v>104.43147540983605</v>
      </c>
      <c r="I123" s="780">
        <v>12.991475409836065</v>
      </c>
      <c r="J123" s="777">
        <f t="shared" si="18"/>
        <v>117.42295081967212</v>
      </c>
      <c r="K123" s="800">
        <v>9.6530612244897966</v>
      </c>
      <c r="L123" s="765">
        <v>1.3469387755102038</v>
      </c>
      <c r="M123" s="801">
        <f t="shared" si="11"/>
        <v>11</v>
      </c>
      <c r="N123" s="800">
        <v>0</v>
      </c>
      <c r="O123" s="765">
        <v>0</v>
      </c>
      <c r="P123" s="801">
        <f t="shared" si="12"/>
        <v>0</v>
      </c>
      <c r="Q123" s="800">
        <v>50.990206746463549</v>
      </c>
      <c r="R123" s="781">
        <v>4.8966267682263327</v>
      </c>
      <c r="S123" s="777">
        <f t="shared" si="13"/>
        <v>55.886833514689883</v>
      </c>
      <c r="T123" s="801">
        <f t="shared" si="14"/>
        <v>591.72888625880967</v>
      </c>
      <c r="V123" s="797">
        <f t="shared" si="19"/>
        <v>0</v>
      </c>
      <c r="W123" s="781">
        <v>0</v>
      </c>
      <c r="X123" s="802">
        <v>0</v>
      </c>
      <c r="Y123" s="95"/>
      <c r="Z123" s="782">
        <f t="shared" si="20"/>
        <v>0</v>
      </c>
      <c r="AA123" s="803">
        <v>0</v>
      </c>
      <c r="AB123" s="798">
        <f t="shared" si="15"/>
        <v>0</v>
      </c>
      <c r="AD123" s="805" t="str">
        <f t="shared" si="16"/>
        <v>North Florida College</v>
      </c>
      <c r="AE123" s="804">
        <v>0</v>
      </c>
      <c r="AF123" s="804">
        <v>0</v>
      </c>
      <c r="AG123" s="777">
        <f t="shared" si="17"/>
        <v>0</v>
      </c>
    </row>
    <row r="124" spans="1:49" ht="25.35" customHeight="1">
      <c r="A124" s="805" t="str">
        <f t="shared" si="8"/>
        <v>Northwest Florida State College</v>
      </c>
      <c r="B124" s="764">
        <v>326</v>
      </c>
      <c r="C124" s="776"/>
      <c r="D124" s="1178">
        <f t="shared" si="9"/>
        <v>326</v>
      </c>
      <c r="E124" s="1181">
        <v>1684.6473820672572</v>
      </c>
      <c r="F124" s="778">
        <v>99.623427885917735</v>
      </c>
      <c r="G124" s="777">
        <f t="shared" si="10"/>
        <v>1784.2708099531749</v>
      </c>
      <c r="H124" s="779">
        <v>483.13408129483173</v>
      </c>
      <c r="I124" s="780">
        <v>27.871252528968178</v>
      </c>
      <c r="J124" s="777">
        <f t="shared" si="18"/>
        <v>511.0053338237999</v>
      </c>
      <c r="K124" s="800">
        <v>50.576368876080693</v>
      </c>
      <c r="L124" s="765">
        <v>1.4236311239193082</v>
      </c>
      <c r="M124" s="801">
        <f t="shared" si="11"/>
        <v>52</v>
      </c>
      <c r="N124" s="800">
        <v>0</v>
      </c>
      <c r="O124" s="765">
        <v>0</v>
      </c>
      <c r="P124" s="801">
        <f t="shared" si="12"/>
        <v>0</v>
      </c>
      <c r="Q124" s="800">
        <v>177.568345323741</v>
      </c>
      <c r="R124" s="781">
        <v>4.4316546762589928</v>
      </c>
      <c r="S124" s="777">
        <f t="shared" si="13"/>
        <v>182</v>
      </c>
      <c r="T124" s="801">
        <f t="shared" si="14"/>
        <v>2855.2761437769745</v>
      </c>
      <c r="V124" s="797">
        <f t="shared" si="19"/>
        <v>0</v>
      </c>
      <c r="W124" s="781">
        <v>0</v>
      </c>
      <c r="X124" s="802">
        <v>0</v>
      </c>
      <c r="Y124" s="95"/>
      <c r="Z124" s="782">
        <f t="shared" si="20"/>
        <v>86.505681818181813</v>
      </c>
      <c r="AA124" s="803">
        <v>0.49431818181818182</v>
      </c>
      <c r="AB124" s="798">
        <f t="shared" si="15"/>
        <v>87</v>
      </c>
      <c r="AD124" s="805" t="str">
        <f t="shared" si="16"/>
        <v>Northwest Florida State College</v>
      </c>
      <c r="AE124" s="804">
        <v>76</v>
      </c>
      <c r="AF124" s="804">
        <v>11</v>
      </c>
      <c r="AG124" s="777">
        <f t="shared" si="17"/>
        <v>87</v>
      </c>
    </row>
    <row r="125" spans="1:49" ht="25.35" customHeight="1">
      <c r="A125" s="805" t="str">
        <f t="shared" si="8"/>
        <v>Palm Beach State College</v>
      </c>
      <c r="B125" s="764">
        <v>908</v>
      </c>
      <c r="C125" s="776"/>
      <c r="D125" s="1178">
        <f t="shared" si="9"/>
        <v>908</v>
      </c>
      <c r="E125" s="1181">
        <v>13229.753877087483</v>
      </c>
      <c r="F125" s="778">
        <v>436.9392139705472</v>
      </c>
      <c r="G125" s="777">
        <f t="shared" si="10"/>
        <v>13666.69309105803</v>
      </c>
      <c r="H125" s="779">
        <v>1438.7981441547408</v>
      </c>
      <c r="I125" s="780">
        <v>27.299483761353979</v>
      </c>
      <c r="J125" s="777">
        <f t="shared" si="18"/>
        <v>1466.0976279160948</v>
      </c>
      <c r="K125" s="800">
        <v>420.78932137172626</v>
      </c>
      <c r="L125" s="765">
        <v>24.210678628273765</v>
      </c>
      <c r="M125" s="801">
        <f t="shared" si="11"/>
        <v>445</v>
      </c>
      <c r="N125" s="800">
        <v>15</v>
      </c>
      <c r="O125" s="765">
        <v>0</v>
      </c>
      <c r="P125" s="801">
        <f t="shared" si="12"/>
        <v>15</v>
      </c>
      <c r="Q125" s="800">
        <v>915.82730840735383</v>
      </c>
      <c r="R125" s="781">
        <v>6.7093575707498445</v>
      </c>
      <c r="S125" s="777">
        <f t="shared" si="13"/>
        <v>922.53666597810366</v>
      </c>
      <c r="T125" s="801">
        <f t="shared" si="14"/>
        <v>17423.327384952227</v>
      </c>
      <c r="V125" s="797">
        <f t="shared" si="19"/>
        <v>0</v>
      </c>
      <c r="W125" s="781">
        <v>0</v>
      </c>
      <c r="X125" s="802">
        <v>0</v>
      </c>
      <c r="Y125" s="95"/>
      <c r="Z125" s="782">
        <f t="shared" si="20"/>
        <v>0</v>
      </c>
      <c r="AA125" s="803">
        <v>0</v>
      </c>
      <c r="AB125" s="798">
        <f t="shared" si="15"/>
        <v>0</v>
      </c>
      <c r="AD125" s="805" t="str">
        <f t="shared" si="16"/>
        <v>Palm Beach State College</v>
      </c>
      <c r="AE125" s="804">
        <v>0</v>
      </c>
      <c r="AF125" s="804">
        <v>0</v>
      </c>
      <c r="AG125" s="777">
        <f t="shared" si="17"/>
        <v>0</v>
      </c>
    </row>
    <row r="126" spans="1:49" ht="25.35" customHeight="1">
      <c r="A126" s="805" t="str">
        <f t="shared" si="8"/>
        <v>Pasco-Hernando State College</v>
      </c>
      <c r="B126" s="764">
        <v>360</v>
      </c>
      <c r="C126" s="776"/>
      <c r="D126" s="1178">
        <f t="shared" si="9"/>
        <v>360</v>
      </c>
      <c r="E126" s="1181">
        <v>3427.5463857625518</v>
      </c>
      <c r="F126" s="778">
        <v>26.562095160214337</v>
      </c>
      <c r="G126" s="777">
        <f t="shared" si="10"/>
        <v>3454.1084809227664</v>
      </c>
      <c r="H126" s="779">
        <v>1682.2194164656926</v>
      </c>
      <c r="I126" s="780">
        <v>13.231333049605146</v>
      </c>
      <c r="J126" s="777">
        <f t="shared" si="18"/>
        <v>1695.4507495152977</v>
      </c>
      <c r="K126" s="800">
        <v>118.54773333333333</v>
      </c>
      <c r="L126" s="765">
        <v>2.4522666666666666</v>
      </c>
      <c r="M126" s="801">
        <f t="shared" si="11"/>
        <v>121</v>
      </c>
      <c r="N126" s="800">
        <v>23</v>
      </c>
      <c r="O126" s="765">
        <v>0</v>
      </c>
      <c r="P126" s="801">
        <f t="shared" si="12"/>
        <v>23</v>
      </c>
      <c r="Q126" s="800">
        <v>162.5058121269243</v>
      </c>
      <c r="R126" s="781">
        <v>1.8774740810556081</v>
      </c>
      <c r="S126" s="777">
        <f t="shared" si="13"/>
        <v>164.38328620797989</v>
      </c>
      <c r="T126" s="801">
        <f t="shared" si="14"/>
        <v>5817.9425166460442</v>
      </c>
      <c r="V126" s="797">
        <f t="shared" si="19"/>
        <v>0</v>
      </c>
      <c r="W126" s="781">
        <v>0</v>
      </c>
      <c r="X126" s="802">
        <v>0</v>
      </c>
      <c r="Y126" s="95"/>
      <c r="Z126" s="782">
        <f t="shared" si="20"/>
        <v>0</v>
      </c>
      <c r="AA126" s="803">
        <v>0</v>
      </c>
      <c r="AB126" s="798">
        <f t="shared" si="15"/>
        <v>0</v>
      </c>
      <c r="AD126" s="805" t="str">
        <f t="shared" si="16"/>
        <v>Pasco-Hernando State College</v>
      </c>
      <c r="AE126" s="804">
        <v>0</v>
      </c>
      <c r="AF126" s="804">
        <v>0</v>
      </c>
      <c r="AG126" s="777">
        <f t="shared" si="17"/>
        <v>0</v>
      </c>
    </row>
    <row r="127" spans="1:49" ht="25.35" customHeight="1">
      <c r="A127" s="805" t="str">
        <f t="shared" si="8"/>
        <v>Pensacola State College</v>
      </c>
      <c r="B127" s="764">
        <v>428</v>
      </c>
      <c r="C127" s="776"/>
      <c r="D127" s="1178">
        <f t="shared" si="9"/>
        <v>428</v>
      </c>
      <c r="E127" s="1181">
        <v>3135.4001253365518</v>
      </c>
      <c r="F127" s="778">
        <v>65.004526042150218</v>
      </c>
      <c r="G127" s="777">
        <f t="shared" si="10"/>
        <v>3200.4046513787021</v>
      </c>
      <c r="H127" s="779">
        <v>1382.5331942569642</v>
      </c>
      <c r="I127" s="780">
        <v>20.984722051785493</v>
      </c>
      <c r="J127" s="777">
        <f t="shared" si="18"/>
        <v>1403.5179163087496</v>
      </c>
      <c r="K127" s="800">
        <v>144.623425104993</v>
      </c>
      <c r="L127" s="765">
        <v>7.3765748950069998</v>
      </c>
      <c r="M127" s="801">
        <f t="shared" si="11"/>
        <v>152</v>
      </c>
      <c r="N127" s="800">
        <v>0</v>
      </c>
      <c r="O127" s="765">
        <v>0</v>
      </c>
      <c r="P127" s="801">
        <f t="shared" si="12"/>
        <v>0</v>
      </c>
      <c r="Q127" s="800">
        <v>356.205352266521</v>
      </c>
      <c r="R127" s="781">
        <v>6.7962861824139811</v>
      </c>
      <c r="S127" s="777">
        <f t="shared" si="13"/>
        <v>363.00163844893501</v>
      </c>
      <c r="T127" s="801">
        <f t="shared" si="14"/>
        <v>5546.9242061363875</v>
      </c>
      <c r="V127" s="797">
        <f t="shared" si="19"/>
        <v>0</v>
      </c>
      <c r="W127" s="781">
        <v>0</v>
      </c>
      <c r="X127" s="802">
        <v>0</v>
      </c>
      <c r="Y127" s="95"/>
      <c r="Z127" s="782">
        <f t="shared" si="20"/>
        <v>121.84726688102894</v>
      </c>
      <c r="AA127" s="803">
        <v>4.1527331189710619</v>
      </c>
      <c r="AB127" s="798">
        <f t="shared" si="15"/>
        <v>126</v>
      </c>
      <c r="AD127" s="805" t="str">
        <f t="shared" si="16"/>
        <v>Pensacola State College</v>
      </c>
      <c r="AE127" s="804">
        <v>112</v>
      </c>
      <c r="AF127" s="804">
        <v>14</v>
      </c>
      <c r="AG127" s="777">
        <f t="shared" si="17"/>
        <v>126</v>
      </c>
    </row>
    <row r="128" spans="1:49" ht="25.35" customHeight="1">
      <c r="A128" s="805" t="str">
        <f t="shared" si="8"/>
        <v>Polk State College</v>
      </c>
      <c r="B128" s="764">
        <v>670</v>
      </c>
      <c r="C128" s="776"/>
      <c r="D128" s="1178">
        <f t="shared" si="9"/>
        <v>670</v>
      </c>
      <c r="E128" s="1181">
        <v>2894.2159892005398</v>
      </c>
      <c r="F128" s="778">
        <v>63.845582720863959</v>
      </c>
      <c r="G128" s="777">
        <f t="shared" si="10"/>
        <v>2958.0615719214038</v>
      </c>
      <c r="H128" s="779">
        <v>1290.3967492161003</v>
      </c>
      <c r="I128" s="780">
        <v>21.303513150316761</v>
      </c>
      <c r="J128" s="777">
        <f t="shared" si="18"/>
        <v>1311.7002623664171</v>
      </c>
      <c r="K128" s="800">
        <v>127.81888745148771</v>
      </c>
      <c r="L128" s="765">
        <v>8.1811125485122904</v>
      </c>
      <c r="M128" s="801">
        <f t="shared" si="11"/>
        <v>136</v>
      </c>
      <c r="N128" s="800">
        <v>59.734904270986746</v>
      </c>
      <c r="O128" s="765">
        <v>0.26509572901325473</v>
      </c>
      <c r="P128" s="801">
        <f t="shared" si="12"/>
        <v>60</v>
      </c>
      <c r="Q128" s="800">
        <v>93.911737089201878</v>
      </c>
      <c r="R128" s="781">
        <v>8.8262910798122068E-2</v>
      </c>
      <c r="S128" s="777">
        <f t="shared" si="13"/>
        <v>94</v>
      </c>
      <c r="T128" s="801">
        <f t="shared" si="14"/>
        <v>5229.7618342878213</v>
      </c>
      <c r="V128" s="797">
        <f t="shared" si="19"/>
        <v>0</v>
      </c>
      <c r="W128" s="781">
        <v>0</v>
      </c>
      <c r="X128" s="802">
        <v>0</v>
      </c>
      <c r="Y128" s="95"/>
      <c r="Z128" s="782">
        <f t="shared" si="20"/>
        <v>0</v>
      </c>
      <c r="AA128" s="803">
        <v>0</v>
      </c>
      <c r="AB128" s="798">
        <f t="shared" si="15"/>
        <v>0</v>
      </c>
      <c r="AD128" s="805" t="str">
        <f t="shared" si="16"/>
        <v>Polk State College</v>
      </c>
      <c r="AE128" s="804">
        <v>0</v>
      </c>
      <c r="AF128" s="804">
        <v>0</v>
      </c>
      <c r="AG128" s="777">
        <f t="shared" si="17"/>
        <v>0</v>
      </c>
    </row>
    <row r="129" spans="1:48" ht="25.35" customHeight="1">
      <c r="A129" s="805" t="str">
        <f t="shared" si="8"/>
        <v>St. Johns River State College</v>
      </c>
      <c r="B129" s="764">
        <v>240</v>
      </c>
      <c r="C129" s="776"/>
      <c r="D129" s="1178">
        <f t="shared" si="9"/>
        <v>240</v>
      </c>
      <c r="E129" s="1181">
        <v>2050.5032587742112</v>
      </c>
      <c r="F129" s="778">
        <v>49.576512346623424</v>
      </c>
      <c r="G129" s="777">
        <f t="shared" si="10"/>
        <v>2100.0797711208347</v>
      </c>
      <c r="H129" s="779">
        <v>816.01495124593714</v>
      </c>
      <c r="I129" s="780">
        <v>11.187865655471288</v>
      </c>
      <c r="J129" s="777">
        <f t="shared" si="18"/>
        <v>827.20281690140848</v>
      </c>
      <c r="K129" s="800">
        <v>31.828402366863905</v>
      </c>
      <c r="L129" s="765">
        <v>1.1715976331360947</v>
      </c>
      <c r="M129" s="801">
        <f t="shared" si="11"/>
        <v>33</v>
      </c>
      <c r="N129" s="800">
        <v>39</v>
      </c>
      <c r="O129" s="765">
        <v>0</v>
      </c>
      <c r="P129" s="801">
        <f t="shared" si="12"/>
        <v>39</v>
      </c>
      <c r="Q129" s="800">
        <v>88.452278589853833</v>
      </c>
      <c r="R129" s="781">
        <v>0</v>
      </c>
      <c r="S129" s="777">
        <f t="shared" si="13"/>
        <v>88.452278589853833</v>
      </c>
      <c r="T129" s="801">
        <f t="shared" si="14"/>
        <v>3327.734866612097</v>
      </c>
      <c r="V129" s="797">
        <f t="shared" si="19"/>
        <v>0</v>
      </c>
      <c r="W129" s="781">
        <v>0</v>
      </c>
      <c r="X129" s="802">
        <v>0</v>
      </c>
      <c r="Y129" s="95"/>
      <c r="Z129" s="782">
        <f t="shared" si="20"/>
        <v>26</v>
      </c>
      <c r="AA129" s="803">
        <v>0</v>
      </c>
      <c r="AB129" s="798">
        <f t="shared" si="15"/>
        <v>26</v>
      </c>
      <c r="AD129" s="805" t="str">
        <f t="shared" si="16"/>
        <v>St. Johns River State College</v>
      </c>
      <c r="AE129" s="804">
        <v>26</v>
      </c>
      <c r="AF129" s="804">
        <v>0</v>
      </c>
      <c r="AG129" s="777">
        <f t="shared" si="17"/>
        <v>26</v>
      </c>
    </row>
    <row r="130" spans="1:48" ht="25.35" customHeight="1">
      <c r="A130" s="805" t="str">
        <f t="shared" si="8"/>
        <v>St. Petersburg College</v>
      </c>
      <c r="B130" s="764">
        <v>2654</v>
      </c>
      <c r="C130" s="776"/>
      <c r="D130" s="1178">
        <f t="shared" si="9"/>
        <v>2654</v>
      </c>
      <c r="E130" s="1181">
        <v>7358.9530651531095</v>
      </c>
      <c r="F130" s="778">
        <v>244.23027843378514</v>
      </c>
      <c r="G130" s="777">
        <f t="shared" si="10"/>
        <v>7603.1833435868948</v>
      </c>
      <c r="H130" s="779">
        <v>4458.0904578731852</v>
      </c>
      <c r="I130" s="780">
        <v>131.12317491831081</v>
      </c>
      <c r="J130" s="777">
        <f t="shared" si="18"/>
        <v>4589.2136327914959</v>
      </c>
      <c r="K130" s="800">
        <v>369.70439041455307</v>
      </c>
      <c r="L130" s="765">
        <v>30.295609585446915</v>
      </c>
      <c r="M130" s="801">
        <f t="shared" si="11"/>
        <v>400</v>
      </c>
      <c r="N130" s="800">
        <v>0</v>
      </c>
      <c r="O130" s="765">
        <v>0</v>
      </c>
      <c r="P130" s="801">
        <f t="shared" si="12"/>
        <v>0</v>
      </c>
      <c r="Q130" s="800">
        <v>177.20207253886011</v>
      </c>
      <c r="R130" s="781">
        <v>2.7979274611398965</v>
      </c>
      <c r="S130" s="777">
        <f t="shared" si="13"/>
        <v>180</v>
      </c>
      <c r="T130" s="801">
        <f t="shared" si="14"/>
        <v>15426.39697637839</v>
      </c>
      <c r="V130" s="797">
        <f t="shared" si="19"/>
        <v>0</v>
      </c>
      <c r="W130" s="781">
        <v>0</v>
      </c>
      <c r="X130" s="802">
        <v>0</v>
      </c>
      <c r="Y130" s="95"/>
      <c r="Z130" s="782">
        <f t="shared" si="20"/>
        <v>0</v>
      </c>
      <c r="AA130" s="803">
        <v>0</v>
      </c>
      <c r="AB130" s="798">
        <f t="shared" si="15"/>
        <v>0</v>
      </c>
      <c r="AD130" s="805" t="str">
        <f t="shared" si="16"/>
        <v>St. Petersburg College</v>
      </c>
      <c r="AE130" s="804">
        <v>0</v>
      </c>
      <c r="AF130" s="804">
        <v>0</v>
      </c>
      <c r="AG130" s="777">
        <f t="shared" si="17"/>
        <v>0</v>
      </c>
    </row>
    <row r="131" spans="1:48" ht="25.35" customHeight="1">
      <c r="A131" s="805" t="str">
        <f t="shared" si="8"/>
        <v>Santa Fe College</v>
      </c>
      <c r="B131" s="764">
        <v>488</v>
      </c>
      <c r="C131" s="776"/>
      <c r="D131" s="1178">
        <f t="shared" si="9"/>
        <v>488</v>
      </c>
      <c r="E131" s="1181">
        <v>5243.4374491456465</v>
      </c>
      <c r="F131" s="778">
        <v>377.68663547599675</v>
      </c>
      <c r="G131" s="777">
        <f t="shared" si="10"/>
        <v>5621.1240846216433</v>
      </c>
      <c r="H131" s="779">
        <v>2018.3643728077502</v>
      </c>
      <c r="I131" s="780">
        <v>100.71028895941205</v>
      </c>
      <c r="J131" s="777">
        <f t="shared" si="18"/>
        <v>2119.0746617671621</v>
      </c>
      <c r="K131" s="800">
        <v>162.79481132075472</v>
      </c>
      <c r="L131" s="765">
        <v>37.205188679245282</v>
      </c>
      <c r="M131" s="801">
        <f t="shared" si="11"/>
        <v>200</v>
      </c>
      <c r="N131" s="800">
        <v>0</v>
      </c>
      <c r="O131" s="765">
        <v>0</v>
      </c>
      <c r="P131" s="801">
        <f t="shared" si="12"/>
        <v>0</v>
      </c>
      <c r="Q131" s="800">
        <v>214.71138211382114</v>
      </c>
      <c r="R131" s="781">
        <v>4.0925925925925926</v>
      </c>
      <c r="S131" s="777">
        <f t="shared" si="13"/>
        <v>218.80397470641373</v>
      </c>
      <c r="T131" s="801">
        <f t="shared" si="14"/>
        <v>8647.0027210952194</v>
      </c>
      <c r="V131" s="797">
        <f t="shared" si="19"/>
        <v>0</v>
      </c>
      <c r="W131" s="781">
        <v>0</v>
      </c>
      <c r="X131" s="802">
        <v>0</v>
      </c>
      <c r="Y131" s="95"/>
      <c r="Z131" s="782">
        <f t="shared" si="20"/>
        <v>21.266787658802158</v>
      </c>
      <c r="AA131" s="803">
        <v>86.733212341197842</v>
      </c>
      <c r="AB131" s="798">
        <f t="shared" si="15"/>
        <v>108</v>
      </c>
      <c r="AD131" s="805" t="str">
        <f t="shared" si="16"/>
        <v>Santa Fe College</v>
      </c>
      <c r="AE131" s="804">
        <v>108</v>
      </c>
      <c r="AF131" s="804">
        <v>0</v>
      </c>
      <c r="AG131" s="777">
        <f t="shared" si="17"/>
        <v>108</v>
      </c>
    </row>
    <row r="132" spans="1:48" ht="25.35" customHeight="1">
      <c r="A132" s="805" t="str">
        <f t="shared" si="8"/>
        <v>Seminole State College of Florida</v>
      </c>
      <c r="B132" s="764">
        <v>947</v>
      </c>
      <c r="C132" s="776"/>
      <c r="D132" s="1178">
        <f t="shared" si="9"/>
        <v>947</v>
      </c>
      <c r="E132" s="1181">
        <v>6019.4681356475603</v>
      </c>
      <c r="F132" s="778">
        <v>171.19289118174268</v>
      </c>
      <c r="G132" s="777">
        <f t="shared" si="10"/>
        <v>6190.6610268293034</v>
      </c>
      <c r="H132" s="779">
        <v>2582.0584882112862</v>
      </c>
      <c r="I132" s="780">
        <v>129.22885958107062</v>
      </c>
      <c r="J132" s="777">
        <f t="shared" si="18"/>
        <v>2711.2873477923567</v>
      </c>
      <c r="K132" s="800">
        <v>138.5286294791282</v>
      </c>
      <c r="L132" s="765">
        <v>8.4713705208718135</v>
      </c>
      <c r="M132" s="801">
        <f t="shared" si="11"/>
        <v>147</v>
      </c>
      <c r="N132" s="800">
        <v>83.642553191489355</v>
      </c>
      <c r="O132" s="765">
        <v>0.35744680851063831</v>
      </c>
      <c r="P132" s="801">
        <f t="shared" si="12"/>
        <v>84</v>
      </c>
      <c r="Q132" s="800">
        <v>174.67330524703178</v>
      </c>
      <c r="R132" s="781">
        <v>11.32669475296821</v>
      </c>
      <c r="S132" s="777">
        <f t="shared" si="13"/>
        <v>186</v>
      </c>
      <c r="T132" s="801">
        <f t="shared" si="14"/>
        <v>10265.948374621661</v>
      </c>
      <c r="V132" s="797">
        <f t="shared" si="19"/>
        <v>0</v>
      </c>
      <c r="W132" s="781">
        <v>0</v>
      </c>
      <c r="X132" s="802">
        <v>0</v>
      </c>
      <c r="Y132" s="95"/>
      <c r="Z132" s="782">
        <f t="shared" si="20"/>
        <v>130.30724789915968</v>
      </c>
      <c r="AA132" s="803">
        <v>298.69275210084032</v>
      </c>
      <c r="AB132" s="798">
        <f t="shared" si="15"/>
        <v>429</v>
      </c>
      <c r="AD132" s="805" t="str">
        <f t="shared" si="16"/>
        <v>Seminole State College of Florida</v>
      </c>
      <c r="AE132" s="804">
        <v>308</v>
      </c>
      <c r="AF132" s="804">
        <v>121</v>
      </c>
      <c r="AG132" s="777">
        <f t="shared" si="17"/>
        <v>429</v>
      </c>
    </row>
    <row r="133" spans="1:48" ht="25.35" customHeight="1">
      <c r="A133" s="805" t="str">
        <f t="shared" si="8"/>
        <v>South Florida State College</v>
      </c>
      <c r="B133" s="764">
        <v>113</v>
      </c>
      <c r="C133" s="776"/>
      <c r="D133" s="1178">
        <f t="shared" si="9"/>
        <v>113</v>
      </c>
      <c r="E133" s="1181">
        <v>1204.5496104961048</v>
      </c>
      <c r="F133" s="778">
        <v>8.6502665026650263</v>
      </c>
      <c r="G133" s="777">
        <f t="shared" si="10"/>
        <v>1213.1998769987699</v>
      </c>
      <c r="H133" s="779">
        <v>4</v>
      </c>
      <c r="I133" s="780">
        <v>0</v>
      </c>
      <c r="J133" s="777">
        <f t="shared" si="18"/>
        <v>4</v>
      </c>
      <c r="K133" s="800">
        <v>9.8952879581151834</v>
      </c>
      <c r="L133" s="765">
        <v>0.10471204188481675</v>
      </c>
      <c r="M133" s="801">
        <f t="shared" si="11"/>
        <v>10</v>
      </c>
      <c r="N133" s="800">
        <v>0</v>
      </c>
      <c r="O133" s="765">
        <v>0</v>
      </c>
      <c r="P133" s="801">
        <f t="shared" si="12"/>
        <v>0</v>
      </c>
      <c r="Q133" s="800">
        <v>237.04656716417912</v>
      </c>
      <c r="R133" s="781">
        <v>2.2495522388059701</v>
      </c>
      <c r="S133" s="777">
        <f t="shared" si="13"/>
        <v>239.29611940298508</v>
      </c>
      <c r="T133" s="801">
        <f t="shared" si="14"/>
        <v>1579.4959964017551</v>
      </c>
      <c r="V133" s="797">
        <f t="shared" si="19"/>
        <v>0</v>
      </c>
      <c r="W133" s="781">
        <v>0</v>
      </c>
      <c r="X133" s="802">
        <v>0</v>
      </c>
      <c r="Y133" s="95"/>
      <c r="Z133" s="782">
        <f t="shared" si="20"/>
        <v>105.42150537634407</v>
      </c>
      <c r="AA133" s="803">
        <v>192.57849462365593</v>
      </c>
      <c r="AB133" s="798">
        <f t="shared" si="15"/>
        <v>298</v>
      </c>
      <c r="AD133" s="805" t="str">
        <f t="shared" si="16"/>
        <v>South Florida State College</v>
      </c>
      <c r="AE133" s="804">
        <v>296</v>
      </c>
      <c r="AF133" s="804">
        <v>2</v>
      </c>
      <c r="AG133" s="777">
        <f t="shared" si="17"/>
        <v>298</v>
      </c>
    </row>
    <row r="134" spans="1:48" ht="25.35" customHeight="1">
      <c r="A134" s="805" t="str">
        <f t="shared" si="8"/>
        <v>Tallahassee Community College</v>
      </c>
      <c r="B134" s="764">
        <v>36</v>
      </c>
      <c r="C134" s="776"/>
      <c r="D134" s="1178">
        <f t="shared" si="9"/>
        <v>36</v>
      </c>
      <c r="E134" s="1181">
        <v>6461.9015041039956</v>
      </c>
      <c r="F134" s="778">
        <v>307.20611641181614</v>
      </c>
      <c r="G134" s="777">
        <f t="shared" si="10"/>
        <v>6769.1076205158115</v>
      </c>
      <c r="H134" s="779">
        <v>1159.1460211176925</v>
      </c>
      <c r="I134" s="780">
        <v>37.455575585887196</v>
      </c>
      <c r="J134" s="777">
        <f t="shared" si="18"/>
        <v>1196.6015967035796</v>
      </c>
      <c r="K134" s="800">
        <v>68.352828379674023</v>
      </c>
      <c r="L134" s="765">
        <v>9.6471716203259827</v>
      </c>
      <c r="M134" s="801">
        <f t="shared" si="11"/>
        <v>78</v>
      </c>
      <c r="N134" s="800">
        <v>0</v>
      </c>
      <c r="O134" s="765">
        <v>0</v>
      </c>
      <c r="P134" s="801">
        <f t="shared" si="12"/>
        <v>0</v>
      </c>
      <c r="Q134" s="800">
        <v>292.80520798106187</v>
      </c>
      <c r="R134" s="781">
        <v>2.1947920189381134</v>
      </c>
      <c r="S134" s="777">
        <f t="shared" si="13"/>
        <v>295</v>
      </c>
      <c r="T134" s="801">
        <f t="shared" si="14"/>
        <v>8374.7092172193916</v>
      </c>
      <c r="V134" s="797">
        <f t="shared" si="19"/>
        <v>0</v>
      </c>
      <c r="W134" s="781">
        <v>0</v>
      </c>
      <c r="X134" s="802">
        <v>0</v>
      </c>
      <c r="Y134" s="95"/>
      <c r="Z134" s="782">
        <f t="shared" si="20"/>
        <v>4.8556430446194128</v>
      </c>
      <c r="AA134" s="803">
        <v>32.144356955380587</v>
      </c>
      <c r="AB134" s="798">
        <f t="shared" si="15"/>
        <v>37</v>
      </c>
      <c r="AD134" s="805" t="str">
        <f t="shared" si="16"/>
        <v>Tallahassee Community College</v>
      </c>
      <c r="AE134" s="804">
        <v>37</v>
      </c>
      <c r="AF134" s="804">
        <v>0</v>
      </c>
      <c r="AG134" s="777">
        <f t="shared" si="17"/>
        <v>37</v>
      </c>
    </row>
    <row r="135" spans="1:48" ht="25.35" customHeight="1" thickBot="1">
      <c r="A135" s="806" t="str">
        <f t="shared" si="8"/>
        <v>Valencia College</v>
      </c>
      <c r="B135" s="708">
        <v>1130</v>
      </c>
      <c r="C135" s="744"/>
      <c r="D135" s="1179">
        <f t="shared" si="9"/>
        <v>1130</v>
      </c>
      <c r="E135" s="1183">
        <v>19064.305431996545</v>
      </c>
      <c r="F135" s="745">
        <v>1307.4846737895377</v>
      </c>
      <c r="G135" s="709">
        <f t="shared" si="10"/>
        <v>20371.790105786084</v>
      </c>
      <c r="H135" s="807">
        <v>7973.1197528182101</v>
      </c>
      <c r="I135" s="808">
        <v>443.59485359789511</v>
      </c>
      <c r="J135" s="809">
        <f t="shared" si="18"/>
        <v>8416.7146064161061</v>
      </c>
      <c r="K135" s="810">
        <v>781.5128384279476</v>
      </c>
      <c r="L135" s="811">
        <v>101.4871615720524</v>
      </c>
      <c r="M135" s="812">
        <f t="shared" si="11"/>
        <v>883</v>
      </c>
      <c r="N135" s="810">
        <v>88.499296765119553</v>
      </c>
      <c r="O135" s="811">
        <v>0.50070323488045021</v>
      </c>
      <c r="P135" s="812">
        <f t="shared" si="12"/>
        <v>89</v>
      </c>
      <c r="Q135" s="810">
        <v>207.51810903545558</v>
      </c>
      <c r="R135" s="813">
        <v>16.481890964544416</v>
      </c>
      <c r="S135" s="709">
        <f t="shared" si="13"/>
        <v>224</v>
      </c>
      <c r="T135" s="812">
        <f t="shared" si="14"/>
        <v>31114.50471220219</v>
      </c>
      <c r="V135" s="797">
        <f t="shared" si="19"/>
        <v>0</v>
      </c>
      <c r="W135" s="597">
        <v>0</v>
      </c>
      <c r="X135" s="598">
        <v>0</v>
      </c>
      <c r="Y135" s="95"/>
      <c r="Z135" s="814">
        <f t="shared" si="20"/>
        <v>0</v>
      </c>
      <c r="AA135" s="815">
        <v>0</v>
      </c>
      <c r="AB135" s="798">
        <f t="shared" si="15"/>
        <v>0</v>
      </c>
      <c r="AD135" s="806" t="str">
        <f t="shared" si="16"/>
        <v>Valencia College</v>
      </c>
      <c r="AE135" s="746">
        <v>0</v>
      </c>
      <c r="AF135" s="746">
        <v>0</v>
      </c>
      <c r="AG135" s="709">
        <f t="shared" si="17"/>
        <v>0</v>
      </c>
    </row>
    <row r="136" spans="1:48" ht="25.35" customHeight="1" thickBot="1">
      <c r="A136" s="495" t="s">
        <v>50</v>
      </c>
      <c r="B136" s="496">
        <f t="shared" ref="B136" si="21">SUM(B108:B135)</f>
        <v>19660</v>
      </c>
      <c r="C136" s="82"/>
      <c r="D136" s="513">
        <f t="shared" ref="D136:T136" si="22">SUM(D108:D135)</f>
        <v>19660</v>
      </c>
      <c r="E136" s="1180">
        <f t="shared" si="22"/>
        <v>162815.13910252927</v>
      </c>
      <c r="F136" s="497">
        <f t="shared" si="22"/>
        <v>6786.9859934065043</v>
      </c>
      <c r="G136" s="513">
        <f t="shared" si="22"/>
        <v>169602.12509593577</v>
      </c>
      <c r="H136" s="524">
        <f t="shared" si="22"/>
        <v>53026.40994247693</v>
      </c>
      <c r="I136" s="497">
        <f t="shared" si="22"/>
        <v>1980.4731969506479</v>
      </c>
      <c r="J136" s="513">
        <f t="shared" si="22"/>
        <v>55006.883139427555</v>
      </c>
      <c r="K136" s="524">
        <f t="shared" si="22"/>
        <v>5808.9102804526956</v>
      </c>
      <c r="L136" s="526">
        <f t="shared" si="22"/>
        <v>495.08971954730561</v>
      </c>
      <c r="M136" s="514">
        <f t="shared" si="22"/>
        <v>6304</v>
      </c>
      <c r="N136" s="524">
        <f t="shared" si="22"/>
        <v>484.04055370315842</v>
      </c>
      <c r="O136" s="526">
        <f t="shared" si="22"/>
        <v>3.9594462968415871</v>
      </c>
      <c r="P136" s="514">
        <f t="shared" si="22"/>
        <v>488</v>
      </c>
      <c r="Q136" s="523">
        <f t="shared" si="22"/>
        <v>7472.3985950467732</v>
      </c>
      <c r="R136" s="525">
        <f t="shared" si="22"/>
        <v>200.50695927513911</v>
      </c>
      <c r="S136" s="515">
        <f t="shared" si="22"/>
        <v>7672.9055543219147</v>
      </c>
      <c r="T136" s="83">
        <f t="shared" si="22"/>
        <v>258733.91378968526</v>
      </c>
      <c r="U136" s="84"/>
      <c r="V136" s="516">
        <f t="shared" ref="V136:AB136" si="23">SUM(V108:V135)</f>
        <v>3</v>
      </c>
      <c r="W136" s="524">
        <f t="shared" si="23"/>
        <v>0</v>
      </c>
      <c r="X136" s="522">
        <f t="shared" si="23"/>
        <v>3</v>
      </c>
      <c r="Y136" s="85"/>
      <c r="Z136" s="516">
        <f t="shared" si="23"/>
        <v>1676.7446159756121</v>
      </c>
      <c r="AA136" s="523">
        <f t="shared" si="23"/>
        <v>1853.2553840243879</v>
      </c>
      <c r="AB136" s="518">
        <f t="shared" si="23"/>
        <v>3530</v>
      </c>
      <c r="AC136" s="84"/>
      <c r="AD136" s="495" t="s">
        <v>50</v>
      </c>
      <c r="AE136" s="522">
        <f>SUM(AE108:AE135)</f>
        <v>3331</v>
      </c>
      <c r="AF136" s="522">
        <f>SUM(AF108:AF135)</f>
        <v>199</v>
      </c>
      <c r="AG136" s="513">
        <f>SUM(AG108:AG135)</f>
        <v>3530</v>
      </c>
      <c r="AH136" s="84"/>
      <c r="AI136" s="84"/>
      <c r="AJ136" s="84"/>
      <c r="AK136" s="84"/>
      <c r="AL136" s="84"/>
      <c r="AM136" s="84"/>
      <c r="AN136" s="84"/>
      <c r="AO136" s="84"/>
      <c r="AP136" s="84"/>
      <c r="AQ136" s="84"/>
      <c r="AR136" s="84"/>
    </row>
    <row r="137" spans="1:48" ht="14.1" customHeight="1">
      <c r="A137" s="488"/>
      <c r="B137" s="489"/>
      <c r="C137" s="489"/>
      <c r="D137" s="489"/>
      <c r="E137" s="489"/>
      <c r="F137" s="489"/>
      <c r="G137" s="489"/>
      <c r="H137" s="489"/>
      <c r="I137" s="489"/>
      <c r="J137" s="489"/>
      <c r="K137" s="489"/>
      <c r="L137" s="489"/>
      <c r="M137" s="489"/>
      <c r="N137" s="489"/>
      <c r="O137" s="489"/>
      <c r="P137" s="489"/>
      <c r="Q137" s="489"/>
      <c r="R137" s="489"/>
      <c r="S137" s="489"/>
      <c r="T137" s="489"/>
      <c r="U137" s="493"/>
      <c r="V137" s="491"/>
      <c r="W137" s="491"/>
      <c r="X137" s="491"/>
      <c r="Y137" s="491"/>
      <c r="Z137" s="491"/>
      <c r="AA137" s="491"/>
      <c r="AB137" s="491"/>
      <c r="AC137" s="493"/>
      <c r="AD137" s="488"/>
      <c r="AE137" s="86"/>
      <c r="AF137" s="86"/>
      <c r="AG137" s="86"/>
      <c r="AH137" s="490"/>
      <c r="AI137" s="490"/>
      <c r="AJ137" s="490"/>
      <c r="AK137" s="490"/>
      <c r="AL137" s="490"/>
      <c r="AM137" s="490"/>
      <c r="AN137" s="490"/>
      <c r="AO137" s="490"/>
      <c r="AP137" s="490"/>
      <c r="AQ137" s="490"/>
      <c r="AR137" s="490"/>
      <c r="AS137" s="27"/>
      <c r="AT137" s="27"/>
      <c r="AU137" s="27"/>
      <c r="AV137" s="27"/>
    </row>
    <row r="138" spans="1:48">
      <c r="A138" s="20" t="s">
        <v>781</v>
      </c>
      <c r="B138" s="37"/>
      <c r="C138" s="37"/>
      <c r="D138" s="37"/>
      <c r="E138" s="37"/>
      <c r="F138" s="37"/>
      <c r="G138" s="37"/>
      <c r="H138" s="37"/>
      <c r="I138" s="37"/>
      <c r="J138" s="37"/>
      <c r="K138" s="37"/>
      <c r="L138" s="37"/>
      <c r="M138" s="37"/>
      <c r="N138" s="37"/>
      <c r="O138" s="37"/>
      <c r="P138" s="37"/>
      <c r="Q138" s="37"/>
      <c r="R138" s="37"/>
      <c r="S138" s="37"/>
      <c r="T138" s="37"/>
      <c r="U138" s="19"/>
      <c r="V138" s="65"/>
      <c r="W138" s="65"/>
      <c r="X138" s="65"/>
      <c r="Y138" s="65"/>
      <c r="Z138" s="65"/>
      <c r="AA138" s="65"/>
      <c r="AB138" s="65"/>
      <c r="AC138" s="24"/>
    </row>
    <row r="139" spans="1:48">
      <c r="A139" s="20" t="s">
        <v>100</v>
      </c>
      <c r="E139" s="37"/>
      <c r="F139" s="37"/>
      <c r="G139" s="37"/>
      <c r="H139" s="37"/>
      <c r="I139" s="37"/>
      <c r="J139" s="37"/>
      <c r="K139" s="37"/>
      <c r="L139" s="37"/>
      <c r="M139" s="37"/>
      <c r="N139" s="37"/>
      <c r="O139" s="37"/>
      <c r="P139" s="37"/>
      <c r="Q139" s="37"/>
      <c r="R139" s="37"/>
      <c r="S139" s="37"/>
      <c r="T139" s="37"/>
      <c r="U139" s="19"/>
      <c r="V139" s="65"/>
      <c r="W139" s="65"/>
      <c r="X139" s="65"/>
      <c r="Y139" s="65"/>
      <c r="Z139" s="75"/>
      <c r="AA139" s="65"/>
      <c r="AB139" s="65"/>
      <c r="AC139" s="24"/>
    </row>
    <row r="140" spans="1:48">
      <c r="A140" s="1294" t="s">
        <v>101</v>
      </c>
      <c r="B140" s="1294"/>
      <c r="C140" s="1294"/>
      <c r="D140" s="1294"/>
      <c r="E140" s="96"/>
    </row>
    <row r="141" spans="1:48">
      <c r="A141" s="1293" t="s">
        <v>102</v>
      </c>
      <c r="B141" s="1293"/>
      <c r="C141" s="1293"/>
      <c r="D141" s="1293"/>
    </row>
    <row r="142" spans="1:48">
      <c r="A142" s="1277" t="s">
        <v>103</v>
      </c>
      <c r="B142" s="1277"/>
      <c r="C142" s="1277"/>
      <c r="D142" s="1277"/>
      <c r="E142" s="1277"/>
    </row>
    <row r="144" spans="1:48" ht="30" customHeight="1"/>
    <row r="174" spans="1:6">
      <c r="A174" s="37"/>
      <c r="B174" s="24"/>
      <c r="C174" s="24"/>
      <c r="D174" s="24"/>
      <c r="E174" s="24"/>
      <c r="F174" s="37"/>
    </row>
  </sheetData>
  <sheetProtection algorithmName="SHA-512" hashValue="EGuwAnp+ldacVNZBkyEA7DnvSlLgIakHhoNl+Q8sfNkRHl7GwXrUAnjZNq3uUzZZEm3SWShjcJ+Zp9hqrUsrcA==" saltValue="K2DZ5UCQlfJdWKfEX0otRA==" spinCount="100000" sheet="1" selectLockedCells="1" selectUnlockedCells="1"/>
  <mergeCells count="36">
    <mergeCell ref="A1:D1"/>
    <mergeCell ref="B103:D103"/>
    <mergeCell ref="E103:S103"/>
    <mergeCell ref="A101:G101"/>
    <mergeCell ref="A2:D2"/>
    <mergeCell ref="A98:R98"/>
    <mergeCell ref="A97:R97"/>
    <mergeCell ref="A100:R100"/>
    <mergeCell ref="A142:E142"/>
    <mergeCell ref="B5:D5"/>
    <mergeCell ref="Z106:AB106"/>
    <mergeCell ref="E106:G106"/>
    <mergeCell ref="H106:J106"/>
    <mergeCell ref="K106:M106"/>
    <mergeCell ref="N106:P106"/>
    <mergeCell ref="Q106:S106"/>
    <mergeCell ref="V106:X106"/>
    <mergeCell ref="T104:T105"/>
    <mergeCell ref="A57:B57"/>
    <mergeCell ref="A141:D141"/>
    <mergeCell ref="A140:D140"/>
    <mergeCell ref="B64:E64"/>
    <mergeCell ref="A37:D37"/>
    <mergeCell ref="A36:D36"/>
    <mergeCell ref="AI115:AN115"/>
    <mergeCell ref="AI117:AN117"/>
    <mergeCell ref="B105:D105"/>
    <mergeCell ref="AI110:AN110"/>
    <mergeCell ref="F105:P105"/>
    <mergeCell ref="Q105:S105"/>
    <mergeCell ref="T106:T107"/>
    <mergeCell ref="AI108:AN108"/>
    <mergeCell ref="AI109:AN109"/>
    <mergeCell ref="Z105:AB105"/>
    <mergeCell ref="B106:D106"/>
    <mergeCell ref="AI106:AO106"/>
  </mergeCells>
  <printOptions horizontalCentered="1"/>
  <pageMargins left="0.25" right="0.25" top="0.75" bottom="0.75" header="0.3" footer="0.3"/>
  <pageSetup scale="19" fitToWidth="0" orientation="portrait" r:id="rId1"/>
  <rowBreaks count="2" manualBreakCount="2">
    <brk id="55" max="41" man="1"/>
    <brk id="95" max="41" man="1"/>
  </rowBreaks>
  <colBreaks count="2" manualBreakCount="2">
    <brk id="6" max="140" man="1"/>
    <brk id="20" max="140" man="1"/>
  </col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topLeftCell="A140" colorId="22" zoomScale="70" zoomScaleNormal="70" zoomScaleSheetLayoutView="51" zoomScalePageLayoutView="60" workbookViewId="0">
      <selection activeCell="D82" sqref="D82"/>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9" t="s">
        <v>11</v>
      </c>
      <c r="B1" s="1119"/>
      <c r="C1" s="1119"/>
      <c r="D1" s="1119"/>
      <c r="E1" s="1119"/>
      <c r="F1" s="1119"/>
      <c r="G1" s="1119"/>
      <c r="H1" s="1003"/>
      <c r="I1" s="1003"/>
    </row>
    <row r="2" spans="1:53" ht="20.100000000000001" customHeight="1">
      <c r="A2" s="1119" t="s">
        <v>739</v>
      </c>
      <c r="B2" s="1119"/>
      <c r="C2" s="1119"/>
      <c r="D2" s="1119"/>
      <c r="E2" s="1119"/>
      <c r="F2" s="1119"/>
      <c r="G2" s="111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9"/>
      <c r="B3" s="1119"/>
      <c r="C3" s="1119"/>
      <c r="D3" s="1119"/>
      <c r="E3" s="1119"/>
      <c r="F3" s="1119"/>
      <c r="G3" s="111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20" t="s">
        <v>104</v>
      </c>
      <c r="B4" s="1120"/>
      <c r="C4" s="1120"/>
      <c r="D4" s="1120"/>
      <c r="E4" s="1120"/>
      <c r="F4" s="1120"/>
      <c r="G4" s="112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105</v>
      </c>
      <c r="C7" s="106" t="s">
        <v>106</v>
      </c>
      <c r="D7" s="1002" t="s">
        <v>49</v>
      </c>
      <c r="E7" s="1168"/>
      <c r="F7" s="116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107</v>
      </c>
      <c r="B10" s="110"/>
      <c r="C10" s="1121" t="s">
        <v>780</v>
      </c>
      <c r="D10" s="1121"/>
      <c r="E10" s="1121"/>
      <c r="F10" s="1121"/>
      <c r="G10" s="1121"/>
      <c r="H10" s="112"/>
      <c r="I10" s="673"/>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05" t="s">
        <v>108</v>
      </c>
      <c r="D12" s="1005"/>
      <c r="E12" s="1005"/>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109</v>
      </c>
      <c r="B15" s="110"/>
      <c r="C15" s="1007" t="s">
        <v>110</v>
      </c>
      <c r="D15" s="1007"/>
      <c r="E15" s="1007"/>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07"/>
      <c r="B16" s="1007"/>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15">
        <f>IF(+'EXHIBIT A'!E44&gt;=0.0499,+'EXHIBIT A'!E44,"PERCENTAGE DOES NOT MEET STATUTORY GUIDELINES")</f>
        <v>0.10548501491729985</v>
      </c>
      <c r="D17" s="1015"/>
      <c r="E17" s="1015"/>
      <c r="F17" s="1015"/>
      <c r="G17" s="1015"/>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07"/>
      <c r="B18" s="1007"/>
      <c r="C18" s="1122" t="s">
        <v>111</v>
      </c>
      <c r="D18" s="1122"/>
      <c r="E18" s="1122"/>
      <c r="F18" s="1122"/>
      <c r="G18" s="112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07"/>
      <c r="B19" s="1007"/>
      <c r="C19" s="1003"/>
      <c r="D19" s="1003"/>
      <c r="E19" s="1003"/>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112</v>
      </c>
      <c r="B21" s="110"/>
      <c r="C21" s="1006" t="s">
        <v>113</v>
      </c>
      <c r="D21" s="1006"/>
      <c r="E21" s="1006"/>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114</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115</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116</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117</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118</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119</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120</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121</v>
      </c>
      <c r="B32" s="122"/>
      <c r="C32" s="116" t="s">
        <v>122</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16"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123</v>
      </c>
      <c r="B37" s="110"/>
      <c r="C37" s="116" t="s">
        <v>124</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125</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740</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126</v>
      </c>
      <c r="E41" s="134" t="s">
        <v>127</v>
      </c>
      <c r="F41" s="134"/>
      <c r="G41" s="135" t="s">
        <v>128</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129</v>
      </c>
      <c r="E42" s="134" t="s">
        <v>130</v>
      </c>
      <c r="F42" s="134" t="s">
        <v>131</v>
      </c>
      <c r="G42" s="135" t="s">
        <v>132</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133</v>
      </c>
      <c r="D43" s="133" t="s">
        <v>134</v>
      </c>
      <c r="E43" s="134" t="s">
        <v>135</v>
      </c>
      <c r="F43" s="134" t="s">
        <v>128</v>
      </c>
      <c r="G43" s="137" t="s">
        <v>136</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137</v>
      </c>
      <c r="D44" s="139">
        <f>VLOOKUP($D$7,VLOOKUP!$A$108:$S$136,2)*30+D68</f>
        <v>33900</v>
      </c>
      <c r="E44" s="140">
        <f>+'EXHIBIT C'!F10</f>
        <v>43203.65</v>
      </c>
      <c r="F44" s="141">
        <f t="shared" ref="F44:F50" si="0">IF(D44=0,"0",(E44/D44-1))</f>
        <v>0.27444395280235989</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138</v>
      </c>
      <c r="D45" s="817">
        <f>VLOOKUP($D$7,VLOOKUP!$A$108:$S$136,5)*30+D69</f>
        <v>611153.70317358256</v>
      </c>
      <c r="E45" s="144">
        <f>+'EXHIBIT C'!F11</f>
        <v>539656.86</v>
      </c>
      <c r="F45" s="818">
        <f t="shared" si="0"/>
        <v>-0.11698668076838226</v>
      </c>
      <c r="G45" s="819"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0" t="s">
        <v>139</v>
      </c>
      <c r="D46" s="821">
        <f>VLOOKUP($D$7,VLOOKUP!$A$108:$S$136,8)*30</f>
        <v>239193.59258454631</v>
      </c>
      <c r="E46" s="822">
        <f>+'EXHIBIT C'!F12</f>
        <v>244513.33</v>
      </c>
      <c r="F46" s="818">
        <f t="shared" si="0"/>
        <v>2.2240300661788615E-2</v>
      </c>
      <c r="G46" s="819"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0" t="s">
        <v>85</v>
      </c>
      <c r="D47" s="821">
        <f>VLOOKUP($D$7,VLOOKUP!$A$108:$S$136,17)*30</f>
        <v>6225.5432710636678</v>
      </c>
      <c r="E47" s="822">
        <f>+'EXHIBIT C'!F13</f>
        <v>6384.86</v>
      </c>
      <c r="F47" s="818">
        <f t="shared" si="0"/>
        <v>2.5590815451695059E-2</v>
      </c>
      <c r="G47" s="819"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0" t="s">
        <v>140</v>
      </c>
      <c r="D48" s="821">
        <f>VLOOKUP($D$7,VLOOKUP!$A$108:$S$136,11)*30</f>
        <v>23445.385152838429</v>
      </c>
      <c r="E48" s="822">
        <f>+'EXHIBIT C'!F14</f>
        <v>24874.99</v>
      </c>
      <c r="F48" s="818">
        <f t="shared" si="0"/>
        <v>6.0975959142581804E-2</v>
      </c>
      <c r="G48" s="819"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3" t="s">
        <v>141</v>
      </c>
      <c r="D49" s="824">
        <f>VLOOKUP($D$7,VLOOKUP!$A$108:$S$136,14)*30</f>
        <v>2654.9789029535864</v>
      </c>
      <c r="E49" s="825">
        <f>+'EXHIBIT C'!F15</f>
        <v>2562.9899999999998</v>
      </c>
      <c r="F49" s="826">
        <f t="shared" si="0"/>
        <v>-3.4647696390826876E-2</v>
      </c>
      <c r="G49" s="827" t="str">
        <f t="shared" si="1"/>
        <v>YES</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916573.20308498456</v>
      </c>
      <c r="E50" s="147">
        <f>+'EXHIBIT C'!F17</f>
        <v>861196.67999999993</v>
      </c>
      <c r="F50" s="148">
        <f t="shared" si="0"/>
        <v>-6.041691258112214E-2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3" t="s">
        <v>142</v>
      </c>
      <c r="D51" s="1124"/>
      <c r="E51" s="1124"/>
      <c r="F51" s="1124"/>
      <c r="G51" s="112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2" t="s">
        <v>143</v>
      </c>
      <c r="D52" s="1013"/>
      <c r="E52" s="1013"/>
      <c r="F52" s="1013"/>
      <c r="G52" s="1014"/>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09" t="s">
        <v>783</v>
      </c>
      <c r="D53" s="1310"/>
      <c r="E53" s="1310"/>
      <c r="F53" s="1310"/>
      <c r="G53" s="1311"/>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12" t="s">
        <v>786</v>
      </c>
      <c r="D54" s="1313"/>
      <c r="E54" s="1313"/>
      <c r="F54" s="1313"/>
      <c r="G54" s="1314"/>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12" t="s">
        <v>785</v>
      </c>
      <c r="D55" s="1313"/>
      <c r="E55" s="1313"/>
      <c r="F55" s="1313"/>
      <c r="G55" s="1314"/>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12" t="s">
        <v>784</v>
      </c>
      <c r="D56" s="1313"/>
      <c r="E56" s="1313"/>
      <c r="F56" s="1313"/>
      <c r="G56" s="1314"/>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7"/>
      <c r="D57" s="1018"/>
      <c r="E57" s="1018"/>
      <c r="F57" s="1018"/>
      <c r="G57" s="1019"/>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7"/>
      <c r="D58" s="1018"/>
      <c r="E58" s="1018"/>
      <c r="F58" s="1018"/>
      <c r="G58" s="1019"/>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7"/>
      <c r="D59" s="1018"/>
      <c r="E59" s="1018"/>
      <c r="F59" s="1018"/>
      <c r="G59" s="1019"/>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7"/>
      <c r="D60" s="1018"/>
      <c r="E60" s="1018"/>
      <c r="F60" s="1018"/>
      <c r="G60" s="1019"/>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7"/>
      <c r="D61" s="1018"/>
      <c r="E61" s="1018"/>
      <c r="F61" s="1018"/>
      <c r="G61" s="1019"/>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0"/>
      <c r="D62" s="1021"/>
      <c r="E62" s="1021"/>
      <c r="F62" s="1021"/>
      <c r="G62" s="1022"/>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144</v>
      </c>
      <c r="E65" s="134" t="s">
        <v>145</v>
      </c>
      <c r="F65" s="134"/>
      <c r="G65" s="137" t="s">
        <v>128</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129</v>
      </c>
      <c r="E66" s="134" t="s">
        <v>130</v>
      </c>
      <c r="F66" s="134" t="s">
        <v>131</v>
      </c>
      <c r="G66" s="137" t="s">
        <v>132</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146</v>
      </c>
      <c r="D67" s="157" t="s">
        <v>134</v>
      </c>
      <c r="E67" s="158" t="s">
        <v>135</v>
      </c>
      <c r="F67" s="158" t="s">
        <v>128</v>
      </c>
      <c r="G67" s="159" t="s">
        <v>147</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137</v>
      </c>
      <c r="D68" s="828">
        <f>VLOOKUP($D$7,VLOOKUP!$A$108:$S$136,3)*30</f>
        <v>0</v>
      </c>
      <c r="E68" s="160">
        <f>+'EXHIBIT C'!D19</f>
        <v>1317.9960000000001</v>
      </c>
      <c r="F68" s="829" t="str">
        <f t="shared" ref="F68:F74" si="2">IF(D68=0,"0",(E68/D68-1))</f>
        <v>0</v>
      </c>
      <c r="G68" s="83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138</v>
      </c>
      <c r="D69" s="828">
        <f>VLOOKUP($D$7,VLOOKUP!$A$108:$S$136,6)*30</f>
        <v>39224.54021368613</v>
      </c>
      <c r="E69" s="161">
        <f>+'EXHIBIT C'!D20</f>
        <v>37532.620000000003</v>
      </c>
      <c r="F69" s="829">
        <f t="shared" si="2"/>
        <v>-4.3134226799573461E-2</v>
      </c>
      <c r="G69" s="830" t="str">
        <f t="shared" ref="G69:G74" si="3">IF(OR(F69&gt;5%, F69&lt;-5%),"YES","NO")</f>
        <v>NO</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0" t="s">
        <v>139</v>
      </c>
      <c r="D70" s="831">
        <f>VLOOKUP($D$7,VLOOKUP!$A$108:$S$136,9)*30</f>
        <v>13307.845607936853</v>
      </c>
      <c r="E70" s="832">
        <f>+'EXHIBIT C'!D21</f>
        <v>14803.025</v>
      </c>
      <c r="F70" s="829">
        <f t="shared" si="2"/>
        <v>0.11235322651860447</v>
      </c>
      <c r="G70" s="830"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0" t="s">
        <v>85</v>
      </c>
      <c r="D71" s="831">
        <f>VLOOKUP($D$7,VLOOKUP!$A$108:$S$136,18)*30</f>
        <v>494.45672893633247</v>
      </c>
      <c r="E71" s="832">
        <f>+'EXHIBIT C'!D22</f>
        <v>633.63459999999998</v>
      </c>
      <c r="F71" s="829">
        <f t="shared" si="2"/>
        <v>0.28147634144460887</v>
      </c>
      <c r="G71" s="830"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0" t="s">
        <v>140</v>
      </c>
      <c r="D72" s="831">
        <f>VLOOKUP($D$7,VLOOKUP!$A$108:$S$136,12)*30</f>
        <v>3044.614847161572</v>
      </c>
      <c r="E72" s="832">
        <f>+'EXHIBIT C'!D23</f>
        <v>3044.5153</v>
      </c>
      <c r="F72" s="829">
        <f t="shared" si="2"/>
        <v>-3.2696142720611832E-5</v>
      </c>
      <c r="G72" s="830"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3" t="s">
        <v>141</v>
      </c>
      <c r="D73" s="833">
        <f>VLOOKUP($D$7,VLOOKUP!$A$108:$S$136,15)*30</f>
        <v>15.021097046413507</v>
      </c>
      <c r="E73" s="834">
        <f>+'EXHIBIT C'!D24</f>
        <v>0</v>
      </c>
      <c r="F73" s="835">
        <f t="shared" si="2"/>
        <v>-1</v>
      </c>
      <c r="G73" s="836" t="str">
        <f t="shared" si="3"/>
        <v>YES</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56086.478494767303</v>
      </c>
      <c r="E74" s="163">
        <f>SUM(E68:E73)</f>
        <v>57331.7909</v>
      </c>
      <c r="F74" s="164">
        <f t="shared" si="2"/>
        <v>2.2203433673392059E-2</v>
      </c>
      <c r="G74" s="165" t="str">
        <f t="shared" si="3"/>
        <v>NO</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3" t="s">
        <v>148</v>
      </c>
      <c r="D75" s="1124"/>
      <c r="E75" s="1124"/>
      <c r="F75" s="1124"/>
      <c r="G75" s="112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09" t="s">
        <v>143</v>
      </c>
      <c r="D76" s="1010"/>
      <c r="E76" s="1010"/>
      <c r="F76" s="1010"/>
      <c r="G76" s="1011"/>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316" t="s">
        <v>788</v>
      </c>
      <c r="D77" s="1317"/>
      <c r="E77" s="1317"/>
      <c r="F77" s="1317"/>
      <c r="G77" s="1318"/>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315" t="s">
        <v>787</v>
      </c>
      <c r="D78" s="1319"/>
      <c r="E78" s="1319"/>
      <c r="F78" s="1319"/>
      <c r="G78" s="1320"/>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23"/>
      <c r="D79" s="1024"/>
      <c r="E79" s="1024"/>
      <c r="F79" s="1024"/>
      <c r="G79" s="102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23"/>
      <c r="D80" s="1024"/>
      <c r="E80" s="1024"/>
      <c r="F80" s="1024"/>
      <c r="G80" s="102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23"/>
      <c r="D81" s="1024"/>
      <c r="E81" s="1024"/>
      <c r="F81" s="1024"/>
      <c r="G81" s="102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23"/>
      <c r="D82" s="1024"/>
      <c r="E82" s="1024"/>
      <c r="F82" s="1024"/>
      <c r="G82" s="102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23"/>
      <c r="D83" s="1024"/>
      <c r="E83" s="1024"/>
      <c r="F83" s="1024"/>
      <c r="G83" s="102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23"/>
      <c r="D84" s="1024"/>
      <c r="E84" s="1024"/>
      <c r="F84" s="1024"/>
      <c r="G84" s="102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23"/>
      <c r="D85" s="1024"/>
      <c r="E85" s="1024"/>
      <c r="F85" s="1024"/>
      <c r="G85" s="102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26"/>
      <c r="D86" s="1027"/>
      <c r="E86" s="1027"/>
      <c r="F86" s="1027"/>
      <c r="G86" s="102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149</v>
      </c>
      <c r="B89" s="122"/>
      <c r="C89" s="166" t="s">
        <v>150</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151</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37" t="str">
        <f>IF(+'EXHIBIT A'!E19='EXHIBIT C'!B69,"Equal","Not Equal")</f>
        <v>Equal</v>
      </c>
      <c r="D92" s="107" t="s">
        <v>152</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38" t="str">
        <f>IF('EXHIBIT C'!B69=SUM('EXHIBIT D'!G132+'EXHIBIT D'!G133+'EXHIBIT D'!G134+'EXHIBIT D'!G135),"Equal","Not Equal")</f>
        <v>Equal</v>
      </c>
      <c r="D93" s="107" t="s">
        <v>153</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154</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37" t="str">
        <f>IF((+'EXHIBIT A'!E26)='EXHIBIT C'!B60,"Equal","Not Equal")</f>
        <v>Equal</v>
      </c>
      <c r="D95" s="107" t="s">
        <v>155</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38" t="str">
        <f>IF('EXHIBIT C'!B60=SUM('EXHIBIT D'!G229+'EXHIBIT D'!G230+'EXHIBIT D'!G231+'EXHIBIT D'!G232+'EXHIBIT D'!G233),"Equal","Not Equal")</f>
        <v>Equal</v>
      </c>
      <c r="D96" s="107" t="s">
        <v>156</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157</v>
      </c>
      <c r="B99" s="122"/>
      <c r="C99" s="1126" t="s">
        <v>158</v>
      </c>
      <c r="D99" s="1126"/>
      <c r="E99" s="1126"/>
      <c r="F99" s="1126"/>
      <c r="G99" s="1126"/>
      <c r="H99" s="100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159</v>
      </c>
      <c r="D101" s="173" t="s">
        <v>160</v>
      </c>
      <c r="E101" s="172" t="s">
        <v>161</v>
      </c>
      <c r="F101" s="172" t="s">
        <v>128</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39" t="s">
        <v>162</v>
      </c>
      <c r="D102" s="840">
        <f>VLOOKUP($D$7,VLOOKUP!$A$7:$E$35,2)</f>
        <v>83933611</v>
      </c>
      <c r="E102" s="841">
        <f>+'EXHIBIT D'!G75</f>
        <v>83933611</v>
      </c>
      <c r="F102" s="841">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2" t="s">
        <v>163</v>
      </c>
      <c r="D103" s="840">
        <f>E103</f>
        <v>3533568</v>
      </c>
      <c r="E103" s="841">
        <f>'EXHIBIT D'!G77</f>
        <v>3533568</v>
      </c>
      <c r="F103" s="841">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2" t="s">
        <v>164</v>
      </c>
      <c r="D104" s="840">
        <f>VLOOKUP($D$7,VLOOKUP!$A$7:$E$35,3)</f>
        <v>11267752</v>
      </c>
      <c r="E104" s="841">
        <f>'EXHIBIT D'!G81</f>
        <v>11267752</v>
      </c>
      <c r="F104" s="841">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165</v>
      </c>
      <c r="D106" s="179">
        <f>SUM(D102:D104)</f>
        <v>98734931</v>
      </c>
      <c r="E106" s="179">
        <f t="shared" ref="E106:F106" si="4">SUM(E102:E104)</f>
        <v>98734931</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166</v>
      </c>
      <c r="B109" s="122"/>
      <c r="C109" s="122" t="s">
        <v>167</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3" t="str">
        <f>IF(+'EXHIBIT E'!B21=+'EXHIBIT D'!G195,"Equal","Not Equal")</f>
        <v>Equal</v>
      </c>
      <c r="D111" s="107" t="s">
        <v>168</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4" t="str">
        <f>IF(+'EXHIBIT E'!C21=+'EXHIBIT D'!G238,"Equal","Not Equal")</f>
        <v>Equal</v>
      </c>
      <c r="D112" s="107" t="s">
        <v>169</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4" t="str">
        <f>IF(+'EXHIBIT E'!D21=+'EXHIBIT D'!G254,"Equal","Not Equal")</f>
        <v>Equal</v>
      </c>
      <c r="D113" s="107" t="s">
        <v>170</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45"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171</v>
      </c>
      <c r="B117" s="184"/>
      <c r="C117" s="1127" t="s">
        <v>745</v>
      </c>
      <c r="D117" s="1127"/>
      <c r="E117" s="1127"/>
      <c r="F117" s="1127"/>
      <c r="G117" s="1016"/>
      <c r="H117" s="101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16"/>
      <c r="D118" s="1016"/>
      <c r="E118" s="1016"/>
      <c r="F118" s="1016"/>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46">
        <f>+'EXHIBIT A'!E40</f>
        <v>27072443</v>
      </c>
      <c r="D119" s="997" t="s">
        <v>743</v>
      </c>
      <c r="E119" s="997"/>
      <c r="F119" s="997"/>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46">
        <f>'EXHIBIT D'!G274-'EXHIBIT D'!G260-'EXHIBIT D'!G272</f>
        <v>27072443</v>
      </c>
      <c r="D120" s="1000" t="s">
        <v>744</v>
      </c>
      <c r="E120" s="1000"/>
      <c r="F120" s="1000"/>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47">
        <f>C119-C120</f>
        <v>0</v>
      </c>
      <c r="D121" s="1128" t="s">
        <v>172</v>
      </c>
      <c r="E121" s="1128"/>
      <c r="F121" s="1128"/>
      <c r="G121" s="112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173</v>
      </c>
      <c r="B124" s="118"/>
      <c r="C124" s="1121" t="s">
        <v>174</v>
      </c>
      <c r="D124" s="1121"/>
      <c r="E124" s="1121"/>
      <c r="F124" s="1121"/>
      <c r="G124" s="1121"/>
      <c r="H124" s="99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112120486</v>
      </c>
      <c r="D126" s="37" t="s">
        <v>741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48">
        <f>'EXHIBIT A'!E36</f>
        <v>112715486</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49">
        <f>C126-C127</f>
        <v>-595000</v>
      </c>
      <c r="D128" s="1001" t="s">
        <v>175</v>
      </c>
      <c r="E128" s="1001"/>
      <c r="F128" s="1001"/>
      <c r="G128" s="1001"/>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0">
        <f>'EXHIBIT D'!G187</f>
        <v>595000</v>
      </c>
      <c r="D130" s="182" t="s">
        <v>176</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29" t="s">
        <v>177</v>
      </c>
      <c r="E132" s="1129"/>
      <c r="F132" s="1129"/>
      <c r="G132" s="112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178</v>
      </c>
      <c r="B135" s="674"/>
      <c r="C135" s="1130" t="s">
        <v>179</v>
      </c>
      <c r="D135" s="1130"/>
      <c r="E135" s="1130"/>
      <c r="F135" s="1130"/>
      <c r="G135" s="1130"/>
      <c r="H135" s="1008"/>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91.789999224602553</v>
      </c>
      <c r="D137" s="20" t="s">
        <v>91</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275.37033496308027</v>
      </c>
      <c r="D139" s="20" t="s">
        <v>180</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39"/>
      <c r="D141" s="1040"/>
      <c r="E141" s="1040"/>
    </row>
    <row r="142" spans="1:53" s="20" customFormat="1" ht="20.100000000000001" customHeight="1">
      <c r="A142" s="674" t="s">
        <v>181</v>
      </c>
      <c r="B142" s="674"/>
      <c r="C142" s="674" t="s">
        <v>182</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31" t="s">
        <v>183</v>
      </c>
      <c r="E144" s="1131"/>
      <c r="F144" s="1131"/>
      <c r="G144" s="113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31" t="s">
        <v>184</v>
      </c>
      <c r="E147" s="1131"/>
      <c r="F147" s="1131"/>
      <c r="G147" s="113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38"/>
      <c r="E149" s="1038"/>
      <c r="F149" s="1038"/>
      <c r="G149" s="1038"/>
      <c r="U149" s="113"/>
      <c r="V149" s="113"/>
      <c r="W149" s="113"/>
      <c r="X149" s="113"/>
      <c r="Y149" s="113"/>
      <c r="Z149" s="113"/>
      <c r="AA149" s="113"/>
      <c r="AB149" s="113"/>
      <c r="AC149" s="113"/>
      <c r="AD149" s="113"/>
      <c r="AE149" s="113"/>
      <c r="AF149" s="113"/>
      <c r="AG149" s="113"/>
    </row>
    <row r="150" spans="1:33" ht="20.100000000000001" customHeight="1">
      <c r="A150" s="20"/>
      <c r="C150" s="200"/>
      <c r="D150" s="1038"/>
      <c r="E150" s="1038"/>
      <c r="F150" s="1038"/>
      <c r="G150" s="1038"/>
      <c r="U150" s="113"/>
      <c r="V150" s="113"/>
      <c r="W150" s="113"/>
      <c r="X150" s="113"/>
      <c r="Y150" s="113"/>
      <c r="Z150" s="113"/>
      <c r="AA150" s="113"/>
      <c r="AB150" s="113"/>
      <c r="AC150" s="113"/>
      <c r="AD150" s="113"/>
      <c r="AE150" s="113"/>
      <c r="AF150" s="113"/>
      <c r="AG150" s="113"/>
    </row>
    <row r="151" spans="1:33" ht="62.1" customHeight="1">
      <c r="A151" s="193" t="s">
        <v>185</v>
      </c>
      <c r="B151" s="674"/>
      <c r="C151" s="1130" t="s">
        <v>186</v>
      </c>
      <c r="D151" s="1130"/>
      <c r="E151" s="1130"/>
      <c r="F151" s="1130"/>
      <c r="G151" s="1130"/>
      <c r="H151" s="1008"/>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998" t="s">
        <v>187</v>
      </c>
      <c r="E153" s="998"/>
      <c r="F153" s="998"/>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2" t="s">
        <v>188</v>
      </c>
      <c r="D155" s="1013"/>
      <c r="E155" s="1013"/>
      <c r="F155" s="1013"/>
      <c r="G155" s="1014"/>
      <c r="H155" s="38"/>
      <c r="U155" s="113"/>
      <c r="V155" s="113"/>
      <c r="W155" s="113"/>
      <c r="X155" s="113"/>
      <c r="Y155" s="113"/>
      <c r="Z155" s="113"/>
      <c r="AA155" s="113"/>
      <c r="AB155" s="113"/>
      <c r="AC155" s="113"/>
      <c r="AD155" s="113"/>
      <c r="AE155" s="113"/>
      <c r="AF155" s="113"/>
      <c r="AG155" s="113"/>
    </row>
    <row r="156" spans="1:33" ht="20.100000000000001" customHeight="1">
      <c r="A156" s="20"/>
      <c r="C156" s="1029"/>
      <c r="D156" s="1030"/>
      <c r="E156" s="1030"/>
      <c r="F156" s="1030"/>
      <c r="G156" s="1031"/>
      <c r="H156" s="201"/>
      <c r="U156" s="113"/>
      <c r="V156" s="113"/>
      <c r="W156" s="113"/>
      <c r="X156" s="113"/>
      <c r="Y156" s="113"/>
      <c r="Z156" s="113"/>
      <c r="AA156" s="113"/>
      <c r="AB156" s="113"/>
      <c r="AC156" s="113"/>
      <c r="AD156" s="113"/>
      <c r="AE156" s="113"/>
      <c r="AF156" s="113"/>
      <c r="AG156" s="113"/>
    </row>
    <row r="157" spans="1:33" ht="20.100000000000001" customHeight="1">
      <c r="A157" s="20"/>
      <c r="C157" s="1032"/>
      <c r="D157" s="1033"/>
      <c r="E157" s="1033"/>
      <c r="F157" s="1033"/>
      <c r="G157" s="1034"/>
      <c r="H157" s="201"/>
      <c r="U157" s="113"/>
      <c r="V157" s="113"/>
      <c r="W157" s="113"/>
      <c r="X157" s="113"/>
      <c r="Y157" s="113"/>
      <c r="Z157" s="113"/>
      <c r="AA157" s="113"/>
      <c r="AB157" s="113"/>
      <c r="AC157" s="113"/>
      <c r="AD157" s="113"/>
      <c r="AE157" s="113"/>
      <c r="AF157" s="113"/>
      <c r="AG157" s="113"/>
    </row>
    <row r="158" spans="1:33" ht="20.100000000000001" customHeight="1">
      <c r="A158" s="20"/>
      <c r="C158" s="1032"/>
      <c r="D158" s="1033"/>
      <c r="E158" s="1033"/>
      <c r="F158" s="1033"/>
      <c r="G158" s="1034"/>
      <c r="H158" s="201"/>
      <c r="U158" s="113"/>
      <c r="V158" s="113"/>
      <c r="W158" s="113"/>
      <c r="X158" s="113"/>
      <c r="Y158" s="113"/>
      <c r="Z158" s="113"/>
      <c r="AA158" s="113"/>
      <c r="AB158" s="113"/>
      <c r="AC158" s="113"/>
      <c r="AD158" s="113"/>
      <c r="AE158" s="113"/>
      <c r="AF158" s="113"/>
      <c r="AG158" s="113"/>
    </row>
    <row r="159" spans="1:33" ht="20.100000000000001" customHeight="1">
      <c r="A159" s="20"/>
      <c r="C159" s="1032"/>
      <c r="D159" s="1033"/>
      <c r="E159" s="1033"/>
      <c r="F159" s="1033"/>
      <c r="G159" s="1034"/>
      <c r="H159" s="201"/>
      <c r="U159" s="113"/>
      <c r="V159" s="113"/>
      <c r="W159" s="113"/>
      <c r="X159" s="113"/>
      <c r="Y159" s="113"/>
      <c r="Z159" s="113"/>
      <c r="AA159" s="113"/>
      <c r="AB159" s="113"/>
      <c r="AC159" s="113"/>
      <c r="AD159" s="113"/>
      <c r="AE159" s="113"/>
      <c r="AF159" s="113"/>
      <c r="AG159" s="113"/>
    </row>
    <row r="160" spans="1:33" ht="20.100000000000001" customHeight="1">
      <c r="A160" s="20"/>
      <c r="C160" s="1032"/>
      <c r="D160" s="1033"/>
      <c r="E160" s="1033"/>
      <c r="F160" s="1033"/>
      <c r="G160" s="1034"/>
      <c r="H160" s="201"/>
      <c r="U160" s="113"/>
      <c r="V160" s="113"/>
      <c r="W160" s="113"/>
      <c r="X160" s="113"/>
      <c r="Y160" s="113"/>
      <c r="Z160" s="113"/>
      <c r="AA160" s="113"/>
      <c r="AB160" s="113"/>
      <c r="AC160" s="113"/>
      <c r="AD160" s="113"/>
      <c r="AE160" s="113"/>
      <c r="AF160" s="113"/>
      <c r="AG160" s="113"/>
    </row>
    <row r="161" spans="1:33" ht="20.100000000000001" customHeight="1">
      <c r="A161" s="20"/>
      <c r="C161" s="1032"/>
      <c r="D161" s="1033"/>
      <c r="E161" s="1033"/>
      <c r="F161" s="1033"/>
      <c r="G161" s="1034"/>
      <c r="H161" s="201"/>
      <c r="U161" s="113"/>
      <c r="V161" s="113"/>
      <c r="W161" s="113"/>
      <c r="X161" s="113"/>
      <c r="Y161" s="113"/>
      <c r="Z161" s="113"/>
      <c r="AA161" s="113"/>
      <c r="AB161" s="113"/>
      <c r="AC161" s="113"/>
      <c r="AD161" s="113"/>
      <c r="AE161" s="113"/>
      <c r="AF161" s="113"/>
      <c r="AG161" s="113"/>
    </row>
    <row r="162" spans="1:33" ht="20.100000000000001" customHeight="1">
      <c r="A162" s="20"/>
      <c r="C162" s="1032"/>
      <c r="D162" s="1033"/>
      <c r="E162" s="1033"/>
      <c r="F162" s="1033"/>
      <c r="G162" s="1034"/>
      <c r="H162" s="201"/>
      <c r="U162" s="113"/>
      <c r="V162" s="113"/>
      <c r="W162" s="113"/>
      <c r="X162" s="113"/>
      <c r="Y162" s="113"/>
      <c r="Z162" s="113"/>
      <c r="AA162" s="113"/>
      <c r="AB162" s="113"/>
      <c r="AC162" s="113"/>
      <c r="AD162" s="113"/>
      <c r="AE162" s="113"/>
      <c r="AF162" s="113"/>
      <c r="AG162" s="113"/>
    </row>
    <row r="163" spans="1:33" ht="20.100000000000001" customHeight="1">
      <c r="A163" s="20"/>
      <c r="C163" s="1032"/>
      <c r="D163" s="1033"/>
      <c r="E163" s="1033"/>
      <c r="F163" s="1033"/>
      <c r="G163" s="1034"/>
      <c r="H163" s="201"/>
      <c r="U163" s="113"/>
      <c r="V163" s="113"/>
      <c r="W163" s="113"/>
      <c r="X163" s="113"/>
      <c r="Y163" s="113"/>
      <c r="Z163" s="113"/>
      <c r="AA163" s="113"/>
      <c r="AB163" s="113"/>
      <c r="AC163" s="113"/>
      <c r="AD163" s="113"/>
      <c r="AE163" s="113"/>
      <c r="AF163" s="113"/>
      <c r="AG163" s="113"/>
    </row>
    <row r="164" spans="1:33" ht="20.100000000000001" customHeight="1">
      <c r="A164" s="20"/>
      <c r="C164" s="1032"/>
      <c r="D164" s="1033"/>
      <c r="E164" s="1033"/>
      <c r="F164" s="1033"/>
      <c r="G164" s="103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35"/>
      <c r="D165" s="1036"/>
      <c r="E165" s="1036"/>
      <c r="F165" s="1036"/>
      <c r="G165" s="103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6">
    <mergeCell ref="C78:G78"/>
    <mergeCell ref="C53:G53"/>
    <mergeCell ref="C54:G54"/>
    <mergeCell ref="C55:G55"/>
    <mergeCell ref="C56:G56"/>
    <mergeCell ref="C77:G77"/>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28" orientation="portrait" r:id="rId1"/>
  <headerFooter alignWithMargins="0">
    <oddFooter>&amp;L&amp;Z&amp;F&amp;R&amp;D</oddFooter>
  </headerFooter>
  <rowBreaks count="1" manualBreakCount="1">
    <brk id="107"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view="pageBreakPreview" zoomScale="90" zoomScaleNormal="70" zoomScaleSheetLayoutView="90" zoomScalePageLayoutView="70" workbookViewId="0">
      <selection activeCell="D53" sqref="D53"/>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32" t="s">
        <v>189</v>
      </c>
      <c r="C1" s="1132"/>
      <c r="D1" s="1132"/>
      <c r="E1" s="1132"/>
      <c r="F1" s="371"/>
      <c r="G1" s="371"/>
    </row>
    <row r="2" spans="2:7" ht="26.25">
      <c r="B2" s="1133" t="s">
        <v>11</v>
      </c>
      <c r="C2" s="1133"/>
      <c r="D2" s="1133"/>
      <c r="E2" s="1133"/>
      <c r="F2" s="1043"/>
      <c r="G2" s="1043"/>
    </row>
    <row r="3" spans="2:7" ht="26.25">
      <c r="B3" s="1133" t="s">
        <v>190</v>
      </c>
      <c r="C3" s="1133"/>
      <c r="D3" s="1133"/>
      <c r="E3" s="1133"/>
      <c r="F3" s="1043"/>
      <c r="G3" s="1043"/>
    </row>
    <row r="4" spans="2:7" ht="26.25">
      <c r="B4" s="1133" t="s">
        <v>191</v>
      </c>
      <c r="C4" s="1133"/>
      <c r="D4" s="1133"/>
      <c r="E4" s="1133"/>
      <c r="F4" s="1043"/>
      <c r="G4" s="1043"/>
    </row>
    <row r="5" spans="2:7" ht="26.25">
      <c r="B5" s="1132" t="s">
        <v>760</v>
      </c>
      <c r="C5" s="1133"/>
      <c r="D5" s="1132"/>
      <c r="E5" s="1132"/>
      <c r="F5" s="1044"/>
      <c r="G5" s="1044"/>
    </row>
    <row r="6" spans="2:7" ht="25.35" customHeight="1">
      <c r="B6" s="1044"/>
      <c r="C6" s="1044"/>
      <c r="D6" s="1044"/>
      <c r="E6" s="1044"/>
      <c r="F6" s="1044"/>
      <c r="G6" s="1044"/>
    </row>
    <row r="7" spans="2:7" ht="25.35" customHeight="1">
      <c r="B7" s="371"/>
      <c r="C7" s="1044"/>
      <c r="D7" s="435"/>
      <c r="E7" s="435"/>
      <c r="F7" s="435"/>
      <c r="G7" s="435"/>
    </row>
    <row r="8" spans="2:7" ht="25.35" customHeight="1">
      <c r="B8" s="437" t="s">
        <v>192</v>
      </c>
      <c r="C8" s="1042" t="str">
        <f>'CHECK SHEET'!D7</f>
        <v>Valencia College</v>
      </c>
      <c r="D8" s="1042"/>
      <c r="E8" s="1042"/>
      <c r="F8" s="434"/>
      <c r="G8" s="434"/>
    </row>
    <row r="9" spans="2:7" ht="25.35" customHeight="1">
      <c r="D9" s="151"/>
      <c r="E9" s="151"/>
      <c r="F9" s="151"/>
      <c r="G9" s="151"/>
    </row>
    <row r="10" spans="2:7" ht="41.45" customHeight="1">
      <c r="E10" s="721" t="s">
        <v>193</v>
      </c>
    </row>
    <row r="11" spans="2:7" ht="25.35" customHeight="1">
      <c r="B11" s="114" t="s">
        <v>761</v>
      </c>
      <c r="D11" s="114"/>
      <c r="E11" s="202"/>
    </row>
    <row r="12" spans="2:7" ht="25.35" customHeight="1">
      <c r="B12" s="114"/>
      <c r="C12" s="114"/>
      <c r="D12" s="114"/>
    </row>
    <row r="13" spans="2:7" ht="25.35" customHeight="1">
      <c r="B13" s="37" t="s">
        <v>769</v>
      </c>
      <c r="C13" s="114"/>
      <c r="D13" s="114"/>
      <c r="E13" s="584">
        <v>-82643043</v>
      </c>
    </row>
    <row r="14" spans="2:7" ht="25.35" customHeight="1">
      <c r="B14" s="37" t="s">
        <v>194</v>
      </c>
      <c r="D14" s="114"/>
      <c r="E14" s="722">
        <v>112120486</v>
      </c>
    </row>
    <row r="15" spans="2:7" ht="25.35" customHeight="1">
      <c r="B15" s="114"/>
      <c r="C15" s="24"/>
      <c r="D15" s="114"/>
      <c r="E15" s="203"/>
    </row>
    <row r="16" spans="2:7" ht="25.35" customHeight="1">
      <c r="B16" s="24" t="s">
        <v>762</v>
      </c>
      <c r="C16" s="114"/>
      <c r="D16" s="35"/>
      <c r="E16" s="723">
        <f>+E14+E13</f>
        <v>29477443</v>
      </c>
    </row>
    <row r="17" spans="2:7" ht="25.35" customHeight="1">
      <c r="B17" s="114"/>
      <c r="C17" s="35"/>
      <c r="D17" s="114"/>
      <c r="E17" s="204"/>
    </row>
    <row r="18" spans="2:7" ht="25.35" customHeight="1">
      <c r="B18" s="37" t="s">
        <v>195</v>
      </c>
      <c r="C18" s="114"/>
      <c r="D18" s="114"/>
      <c r="E18" s="216">
        <f>+'EXHIBIT D'!G143-SUM(+'EXHIBIT D'!G132+'EXHIBIT D'!G133+'EXHIBIT D'!G134+'EXHIBIT D'!G135)</f>
        <v>224169845.24000001</v>
      </c>
      <c r="G18" s="205"/>
    </row>
    <row r="19" spans="2:7" ht="25.35" customHeight="1">
      <c r="B19" s="37" t="s">
        <v>196</v>
      </c>
      <c r="D19" s="114"/>
      <c r="E19" s="723">
        <f>+'EXHIBIT D'!G132+'EXHIBIT D'!G133+'EXHIBIT D'!G134+'EXHIBIT D'!G135</f>
        <v>2999999.73</v>
      </c>
    </row>
    <row r="20" spans="2:7" ht="25.35" customHeight="1">
      <c r="B20" s="114"/>
      <c r="D20" s="114"/>
      <c r="E20" s="211"/>
    </row>
    <row r="21" spans="2:7" ht="25.35" customHeight="1">
      <c r="B21" s="37" t="s">
        <v>197</v>
      </c>
      <c r="C21" s="114"/>
      <c r="D21" s="114"/>
      <c r="E21" s="724">
        <f>+E19+E18</f>
        <v>227169844.97</v>
      </c>
    </row>
    <row r="22" spans="2:7" ht="25.35" customHeight="1">
      <c r="B22" s="114"/>
      <c r="C22" s="114"/>
      <c r="D22" s="114"/>
      <c r="E22" s="211"/>
    </row>
    <row r="23" spans="2:7" ht="25.35" customHeight="1">
      <c r="B23" s="114" t="s">
        <v>198</v>
      </c>
      <c r="C23" s="114"/>
      <c r="D23" s="114"/>
      <c r="E23" s="724">
        <f>+E21+E16</f>
        <v>256647287.97</v>
      </c>
    </row>
    <row r="24" spans="2:7" ht="25.35" customHeight="1">
      <c r="B24" s="114"/>
      <c r="C24" s="114"/>
      <c r="D24" s="114"/>
      <c r="E24" s="211"/>
    </row>
    <row r="25" spans="2:7" ht="25.35" customHeight="1">
      <c r="B25" s="37" t="s">
        <v>199</v>
      </c>
      <c r="C25" s="114"/>
      <c r="D25" s="114"/>
      <c r="E25" s="217">
        <f>'EXHIBIT D'!G256-SUM(+'EXHIBIT D'!G229+'EXHIBIT D'!G230+'EXHIBIT D'!G231+'EXHIBIT D'!G232+'EXHIBIT D'!G233)</f>
        <v>227169845</v>
      </c>
    </row>
    <row r="26" spans="2:7" ht="25.35" customHeight="1">
      <c r="B26" s="37" t="s">
        <v>200</v>
      </c>
      <c r="D26" s="114"/>
      <c r="E26" s="723">
        <f>'EXHIBIT D'!G229+'EXHIBIT D'!G230+'EXHIBIT D'!G231+'EXHIBIT D'!G232+'EXHIBIT D'!G233</f>
        <v>0</v>
      </c>
    </row>
    <row r="27" spans="2:7" ht="25.35" customHeight="1">
      <c r="B27" s="114"/>
      <c r="D27" s="114"/>
      <c r="E27" s="211"/>
    </row>
    <row r="28" spans="2:7" ht="25.35" customHeight="1">
      <c r="B28" s="114" t="s">
        <v>201</v>
      </c>
      <c r="C28" s="114"/>
      <c r="D28" s="114"/>
      <c r="E28" s="725">
        <f>+E26+E25</f>
        <v>227169845</v>
      </c>
    </row>
    <row r="29" spans="2:7" ht="25.35" customHeight="1">
      <c r="B29" s="114"/>
      <c r="C29" s="114"/>
      <c r="D29" s="114"/>
      <c r="E29" s="206"/>
    </row>
    <row r="30" spans="2:7" ht="25.35" customHeight="1">
      <c r="B30" s="114" t="s">
        <v>763</v>
      </c>
      <c r="C30" s="114"/>
      <c r="D30" s="114"/>
      <c r="E30" s="206"/>
    </row>
    <row r="31" spans="2:7" ht="25.35" customHeight="1">
      <c r="B31" s="114"/>
      <c r="C31" s="114"/>
      <c r="D31" s="114"/>
      <c r="E31" s="206"/>
    </row>
    <row r="32" spans="2:7" ht="25.35" customHeight="1">
      <c r="B32" s="37" t="s">
        <v>202</v>
      </c>
      <c r="C32" s="114"/>
      <c r="D32" s="207">
        <f>+E23-E28</f>
        <v>29477442.969999999</v>
      </c>
      <c r="E32" s="206"/>
    </row>
    <row r="33" spans="2:10" ht="25.35" customHeight="1">
      <c r="B33" s="24" t="s">
        <v>203</v>
      </c>
      <c r="C33" s="114"/>
      <c r="D33" s="726">
        <f>+'EXHIBIT D'!G187</f>
        <v>595000</v>
      </c>
      <c r="E33" s="206"/>
      <c r="J33" s="151"/>
    </row>
    <row r="34" spans="2:10" ht="25.35" customHeight="1">
      <c r="B34" s="114"/>
      <c r="D34" s="114"/>
      <c r="E34" s="206"/>
      <c r="J34" s="208"/>
    </row>
    <row r="35" spans="2:10" ht="25.35" customHeight="1">
      <c r="B35" s="37" t="s">
        <v>764</v>
      </c>
      <c r="C35" s="114"/>
      <c r="D35" s="114"/>
      <c r="E35" s="209">
        <f>+D32+D33</f>
        <v>30072442.969999999</v>
      </c>
      <c r="J35" s="151"/>
    </row>
    <row r="36" spans="2:10" ht="25.35" customHeight="1">
      <c r="B36" s="37" t="s">
        <v>765</v>
      </c>
      <c r="C36" s="114"/>
      <c r="D36" s="114"/>
      <c r="E36" s="724">
        <f>-'EXHIBIT D'!G272</f>
        <v>112715486</v>
      </c>
      <c r="J36" s="210"/>
    </row>
    <row r="37" spans="2:10" ht="25.35" customHeight="1">
      <c r="D37" s="114"/>
      <c r="E37" s="209"/>
      <c r="J37" s="151"/>
    </row>
    <row r="38" spans="2:10" ht="25.35" customHeight="1">
      <c r="B38" s="114" t="s">
        <v>766</v>
      </c>
      <c r="D38" s="114"/>
      <c r="E38" s="723">
        <f>+E35-E36</f>
        <v>-82643043.030000001</v>
      </c>
      <c r="J38" s="151"/>
    </row>
    <row r="39" spans="2:10" ht="25.35" customHeight="1">
      <c r="B39" s="114"/>
      <c r="C39" s="114"/>
      <c r="D39" s="114"/>
      <c r="E39" s="211"/>
    </row>
    <row r="40" spans="2:10" ht="25.35" customHeight="1">
      <c r="B40" s="24" t="s">
        <v>767</v>
      </c>
      <c r="C40" s="114"/>
      <c r="D40" s="35"/>
      <c r="E40" s="725">
        <f>'EXHIBIT D'!G261+'EXHIBIT D'!G262+'EXHIBIT D'!G263+'EXHIBIT D'!G264+'EXHIBIT D'!G265+'EXHIBIT D'!G266+'EXHIBIT D'!G267+'EXHIBIT D'!G268</f>
        <v>27072443</v>
      </c>
    </row>
    <row r="41" spans="2:10" ht="25.35" customHeight="1">
      <c r="B41" s="24" t="s">
        <v>204</v>
      </c>
      <c r="C41" s="24"/>
      <c r="D41" s="35"/>
      <c r="E41" s="212"/>
    </row>
    <row r="42" spans="2:10" ht="25.35" customHeight="1">
      <c r="D42" s="114"/>
      <c r="E42" s="213"/>
    </row>
    <row r="43" spans="2:10" ht="25.35" customHeight="1">
      <c r="B43" s="114" t="s">
        <v>205</v>
      </c>
      <c r="D43" s="114"/>
      <c r="E43" s="213"/>
    </row>
    <row r="44" spans="2:10" ht="25.35" customHeight="1">
      <c r="B44" s="114" t="s">
        <v>768</v>
      </c>
      <c r="C44" s="114"/>
      <c r="D44" s="114"/>
      <c r="E44" s="727">
        <f>+E40/E23</f>
        <v>0.10548501491729985</v>
      </c>
    </row>
    <row r="45" spans="2:10" ht="25.35" customHeight="1">
      <c r="B45" s="114"/>
      <c r="C45" s="114"/>
      <c r="D45" s="114"/>
      <c r="E45" s="213"/>
    </row>
    <row r="46" spans="2:10" ht="25.35" customHeight="1">
      <c r="B46" s="114" t="s">
        <v>206</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8"/>
      <c r="C50" s="728"/>
      <c r="D50" s="114"/>
      <c r="E50" s="729"/>
    </row>
    <row r="51" spans="2:5" ht="25.35" customHeight="1">
      <c r="B51" s="114" t="s">
        <v>207</v>
      </c>
      <c r="E51" s="214" t="s">
        <v>208</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view="pageBreakPreview" zoomScale="60" zoomScaleNormal="50" zoomScalePageLayoutView="50" workbookViewId="0">
      <selection activeCell="D53" sqref="D53"/>
    </sheetView>
  </sheetViews>
  <sheetFormatPr defaultColWidth="9.140625" defaultRowHeight="12.75"/>
  <cols>
    <col min="1" max="1" width="92.5703125" style="221" customWidth="1"/>
    <col min="2" max="2" width="13.5703125" style="221" customWidth="1"/>
    <col min="3" max="3" width="16.42578125" style="221" customWidth="1"/>
    <col min="4" max="4" width="15" style="221" customWidth="1"/>
    <col min="5" max="5" width="20.85546875" style="221" customWidth="1"/>
    <col min="6" max="6" width="17.5703125" style="221" customWidth="1"/>
    <col min="7" max="7" width="14.7109375" style="221" customWidth="1"/>
    <col min="8" max="8" width="17.42578125" style="22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41" t="s">
        <v>209</v>
      </c>
      <c r="L1" s="1041"/>
      <c r="M1" s="1041"/>
      <c r="N1" s="1041"/>
      <c r="O1" s="1041"/>
      <c r="P1" s="1041"/>
      <c r="Q1" s="1041"/>
      <c r="R1" s="1041"/>
    </row>
    <row r="2" spans="1:18" s="371" customFormat="1" ht="20.100000000000001" customHeight="1"/>
    <row r="3" spans="1:18" s="371" customFormat="1" ht="20.100000000000001" customHeight="1">
      <c r="A3" s="1133" t="s">
        <v>11</v>
      </c>
      <c r="B3" s="1133"/>
      <c r="C3" s="1133"/>
      <c r="D3" s="1133"/>
      <c r="E3" s="1133"/>
      <c r="F3" s="1133"/>
      <c r="G3" s="1133"/>
      <c r="H3" s="1133"/>
      <c r="I3" s="1043"/>
      <c r="J3" s="370"/>
      <c r="K3" s="370"/>
    </row>
    <row r="4" spans="1:18" s="371" customFormat="1" ht="20.100000000000001" customHeight="1">
      <c r="A4" s="1133" t="s">
        <v>190</v>
      </c>
      <c r="B4" s="1133"/>
      <c r="C4" s="1133"/>
      <c r="D4" s="1133"/>
      <c r="E4" s="1133"/>
      <c r="F4" s="1133"/>
      <c r="G4" s="1133"/>
      <c r="H4" s="1133"/>
      <c r="I4" s="1043"/>
    </row>
    <row r="5" spans="1:18" s="371" customFormat="1" ht="24" customHeight="1">
      <c r="A5" s="1133" t="s">
        <v>770</v>
      </c>
      <c r="B5" s="1133"/>
      <c r="C5" s="1133"/>
      <c r="D5" s="1133"/>
      <c r="E5" s="1133"/>
      <c r="F5" s="1133"/>
      <c r="G5" s="1133"/>
      <c r="H5" s="1133"/>
      <c r="I5" s="1043"/>
    </row>
    <row r="6" spans="1:18" s="371" customFormat="1" ht="24" customHeight="1">
      <c r="A6" s="1133" t="s">
        <v>210</v>
      </c>
      <c r="B6" s="1133"/>
      <c r="C6" s="1133"/>
      <c r="D6" s="1133"/>
      <c r="E6" s="1133"/>
      <c r="F6" s="1133"/>
      <c r="G6" s="1133"/>
      <c r="H6" s="1133"/>
      <c r="I6" s="1043"/>
    </row>
    <row r="7" spans="1:18" s="371" customFormat="1" ht="20.100000000000001" customHeight="1">
      <c r="A7" s="1132"/>
      <c r="B7" s="1132"/>
      <c r="C7" s="1132"/>
      <c r="D7" s="1132"/>
      <c r="E7" s="1132"/>
      <c r="F7" s="1132"/>
      <c r="G7" s="1132"/>
      <c r="H7" s="1132"/>
      <c r="I7" s="1044"/>
    </row>
    <row r="8" spans="1:18" s="371" customFormat="1" ht="25.35" customHeight="1" thickBot="1">
      <c r="A8" s="1132"/>
      <c r="B8" s="1136"/>
      <c r="C8" s="1132" t="s">
        <v>192</v>
      </c>
      <c r="D8" s="1137" t="str">
        <f>'CHECK SHEET'!D7</f>
        <v>Valencia College</v>
      </c>
      <c r="E8" s="1137"/>
      <c r="F8" s="1137"/>
      <c r="G8" s="1137"/>
      <c r="H8" s="1137"/>
    </row>
    <row r="9" spans="1:18" s="37" customFormat="1" ht="20.100000000000001" customHeight="1"/>
    <row r="10" spans="1:18" s="37" customFormat="1" ht="20.100000000000001" customHeight="1">
      <c r="B10" s="114"/>
      <c r="C10" s="114"/>
      <c r="D10" s="114"/>
      <c r="E10" s="1134"/>
      <c r="F10" s="1135"/>
      <c r="G10" s="1135"/>
    </row>
    <row r="11" spans="1:18" s="37" customFormat="1" ht="20.100000000000001" customHeight="1">
      <c r="B11" s="1045" t="s">
        <v>211</v>
      </c>
      <c r="C11" s="1045"/>
      <c r="D11" s="1003"/>
      <c r="E11" s="1003"/>
    </row>
    <row r="12" spans="1:18" s="37" customFormat="1" ht="20.100000000000001" customHeight="1" thickBot="1">
      <c r="B12" s="1046" t="s">
        <v>212</v>
      </c>
      <c r="C12" s="1046"/>
      <c r="D12" s="1046"/>
      <c r="E12" s="1046"/>
      <c r="J12" s="114"/>
    </row>
    <row r="13" spans="1:18" s="37" customFormat="1" ht="105.75" customHeight="1" thickBot="1">
      <c r="A13" s="438" t="s">
        <v>213</v>
      </c>
      <c r="B13" s="392" t="s">
        <v>214</v>
      </c>
      <c r="C13" s="1050" t="s">
        <v>215</v>
      </c>
      <c r="D13" s="392" t="s">
        <v>216</v>
      </c>
      <c r="E13" s="392" t="s">
        <v>217</v>
      </c>
      <c r="F13" s="1049" t="s">
        <v>218</v>
      </c>
      <c r="G13" s="392" t="s">
        <v>50</v>
      </c>
      <c r="H13" s="1050" t="s">
        <v>219</v>
      </c>
      <c r="I13" s="24"/>
      <c r="J13" s="35"/>
      <c r="K13" s="24"/>
    </row>
    <row r="14" spans="1:18" s="37" customFormat="1" ht="20.100000000000001" customHeight="1">
      <c r="A14" s="439" t="s">
        <v>220</v>
      </c>
      <c r="B14" s="1197">
        <v>91.79</v>
      </c>
      <c r="C14" s="1197">
        <v>3.83</v>
      </c>
      <c r="D14" s="1197">
        <v>7.07</v>
      </c>
      <c r="E14" s="1197">
        <v>5.67</v>
      </c>
      <c r="F14" s="1197">
        <v>3.83</v>
      </c>
      <c r="G14" s="852">
        <f>SUM(B14:F14)</f>
        <v>112.19</v>
      </c>
      <c r="H14" s="477">
        <f>G14*30</f>
        <v>3365.7</v>
      </c>
      <c r="I14" s="24"/>
    </row>
    <row r="15" spans="1:18" s="37" customFormat="1" ht="20.100000000000001" customHeight="1">
      <c r="A15" s="114" t="s">
        <v>221</v>
      </c>
      <c r="B15" s="1198">
        <v>82.66</v>
      </c>
      <c r="C15" s="1198">
        <v>3.83</v>
      </c>
      <c r="D15" s="1198">
        <v>7.07</v>
      </c>
      <c r="E15" s="1198">
        <v>5.67</v>
      </c>
      <c r="F15" s="1198">
        <v>3.83</v>
      </c>
      <c r="G15" s="852">
        <f>SUM(B15:F15)</f>
        <v>103.06</v>
      </c>
      <c r="H15" s="440">
        <f>G15*30</f>
        <v>3091.8</v>
      </c>
      <c r="I15" s="24"/>
    </row>
    <row r="16" spans="1:18" s="37" customFormat="1" ht="20.100000000000001" customHeight="1" thickBot="1">
      <c r="A16" s="35" t="s">
        <v>85</v>
      </c>
      <c r="B16" s="1199">
        <v>73.400000000000006</v>
      </c>
      <c r="C16" s="1199">
        <v>0</v>
      </c>
      <c r="D16" s="1200"/>
      <c r="E16" s="1199">
        <v>3.41</v>
      </c>
      <c r="F16" s="1199">
        <v>3.67</v>
      </c>
      <c r="G16" s="441">
        <f>SUM(B16:F16)</f>
        <v>80.48</v>
      </c>
      <c r="H16" s="853">
        <f>G16*30</f>
        <v>2414.4</v>
      </c>
    </row>
    <row r="17" spans="1:11" s="37" customFormat="1" ht="20.100000000000001" customHeight="1" thickBot="1">
      <c r="A17" s="442"/>
      <c r="B17" s="470"/>
      <c r="C17" s="677"/>
      <c r="D17" s="677"/>
      <c r="E17" s="677"/>
      <c r="F17" s="677"/>
      <c r="G17" s="476"/>
      <c r="H17" s="443"/>
    </row>
    <row r="18" spans="1:11" s="37" customFormat="1" ht="65.099999999999994" customHeight="1" thickBot="1">
      <c r="A18" s="469" t="s">
        <v>213</v>
      </c>
      <c r="B18" s="454" t="s">
        <v>222</v>
      </c>
      <c r="C18" s="481"/>
      <c r="D18" s="481"/>
      <c r="E18" s="481"/>
      <c r="F18" s="481"/>
      <c r="G18" s="475" t="s">
        <v>50</v>
      </c>
      <c r="H18" s="1050" t="s">
        <v>223</v>
      </c>
    </row>
    <row r="19" spans="1:11" s="37" customFormat="1" ht="20.100000000000001" customHeight="1">
      <c r="A19" s="114" t="s">
        <v>224</v>
      </c>
      <c r="B19" s="851">
        <v>0</v>
      </c>
      <c r="C19" s="478"/>
      <c r="D19" s="478"/>
      <c r="E19" s="478"/>
      <c r="F19" s="478"/>
      <c r="G19" s="852">
        <f>B19</f>
        <v>0</v>
      </c>
      <c r="H19" s="762">
        <f>G19*3</f>
        <v>0</v>
      </c>
    </row>
    <row r="20" spans="1:11" s="37" customFormat="1" ht="20.100000000000001" customHeight="1" thickBot="1">
      <c r="A20" s="114" t="s">
        <v>225</v>
      </c>
      <c r="B20" s="747">
        <v>0</v>
      </c>
      <c r="C20" s="479"/>
      <c r="D20" s="479"/>
      <c r="E20" s="479"/>
      <c r="F20" s="479"/>
      <c r="G20" s="444">
        <f>B20</f>
        <v>0</v>
      </c>
      <c r="H20" s="710">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226</v>
      </c>
      <c r="B22" s="565">
        <v>0</v>
      </c>
      <c r="C22" s="678"/>
      <c r="D22" s="678"/>
      <c r="E22" s="678"/>
      <c r="F22" s="678"/>
      <c r="G22" s="446">
        <f>B22</f>
        <v>0</v>
      </c>
      <c r="H22" s="474">
        <f>G22*2</f>
        <v>0</v>
      </c>
    </row>
    <row r="23" spans="1:11" s="37" customFormat="1" ht="20.100000000000001" customHeight="1" thickBot="1">
      <c r="A23" s="114" t="s">
        <v>227</v>
      </c>
      <c r="B23" s="854">
        <v>0</v>
      </c>
      <c r="C23" s="479"/>
      <c r="D23" s="479"/>
      <c r="E23" s="479"/>
      <c r="F23" s="479"/>
      <c r="G23" s="855">
        <f>B23</f>
        <v>0</v>
      </c>
      <c r="H23" s="853">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3" t="s">
        <v>228</v>
      </c>
      <c r="C26" s="1003"/>
      <c r="D26" s="1003"/>
      <c r="E26" s="1003"/>
      <c r="F26" s="447"/>
      <c r="G26" s="447"/>
      <c r="H26" s="447"/>
      <c r="I26" s="447"/>
      <c r="J26" s="447"/>
      <c r="K26" s="447"/>
    </row>
    <row r="27" spans="1:11" s="37" customFormat="1" ht="20.100000000000001" customHeight="1" thickBot="1">
      <c r="A27" s="439"/>
      <c r="B27" s="1003" t="s">
        <v>212</v>
      </c>
      <c r="C27" s="1003"/>
      <c r="D27" s="1003"/>
      <c r="E27" s="1003"/>
      <c r="F27" s="447"/>
      <c r="G27" s="447"/>
      <c r="H27" s="447"/>
      <c r="I27" s="447"/>
    </row>
    <row r="28" spans="1:11" s="37" customFormat="1" ht="108" customHeight="1" thickBot="1">
      <c r="A28" s="438" t="s">
        <v>213</v>
      </c>
      <c r="B28" s="449" t="s">
        <v>214</v>
      </c>
      <c r="C28" s="392" t="s">
        <v>229</v>
      </c>
      <c r="D28" s="392" t="s">
        <v>215</v>
      </c>
      <c r="E28" s="392" t="s">
        <v>216</v>
      </c>
      <c r="F28" s="392" t="s">
        <v>217</v>
      </c>
      <c r="G28" s="1049" t="s">
        <v>218</v>
      </c>
      <c r="H28" s="392" t="s">
        <v>50</v>
      </c>
      <c r="I28" s="1050" t="s">
        <v>219</v>
      </c>
      <c r="J28" s="114"/>
      <c r="K28" s="114"/>
    </row>
    <row r="29" spans="1:11" s="37" customFormat="1" ht="20.100000000000001" customHeight="1">
      <c r="A29" s="439" t="str">
        <f t="shared" ref="A29:B31" si="0">A14</f>
        <v>UPPER LEVEL - BACCALAUREATE</v>
      </c>
      <c r="B29" s="450">
        <f t="shared" si="0"/>
        <v>91.79</v>
      </c>
      <c r="C29" s="1197">
        <v>275.37</v>
      </c>
      <c r="D29" s="1197">
        <v>15.34</v>
      </c>
      <c r="E29" s="679">
        <f>D14</f>
        <v>7.07</v>
      </c>
      <c r="F29" s="1197">
        <v>22.68</v>
      </c>
      <c r="G29" s="1197">
        <v>15.34</v>
      </c>
      <c r="H29" s="451">
        <f>SUM(B29:G29)</f>
        <v>427.59</v>
      </c>
      <c r="I29" s="471">
        <f>H29*30</f>
        <v>12827.699999999999</v>
      </c>
      <c r="J29" s="24"/>
    </row>
    <row r="30" spans="1:11" s="37" customFormat="1" ht="20.100000000000001" customHeight="1">
      <c r="A30" s="114" t="str">
        <f t="shared" si="0"/>
        <v>LOWER LEVEL - CREDIT (A &amp; P, PSV, DEVELOPMENTAL EDUCATION AND EPI)</v>
      </c>
      <c r="B30" s="856">
        <f t="shared" si="0"/>
        <v>82.66</v>
      </c>
      <c r="C30" s="1201">
        <v>247.87</v>
      </c>
      <c r="D30" s="1201">
        <v>15.34</v>
      </c>
      <c r="E30" s="857">
        <f>D15</f>
        <v>7.07</v>
      </c>
      <c r="F30" s="1201">
        <v>22.68</v>
      </c>
      <c r="G30" s="1201">
        <v>15.34</v>
      </c>
      <c r="H30" s="852">
        <f>SUM(B30:G30)</f>
        <v>390.95999999999992</v>
      </c>
      <c r="I30" s="440">
        <f>H30*30</f>
        <v>11728.799999999997</v>
      </c>
    </row>
    <row r="31" spans="1:11" s="37" customFormat="1" ht="20.100000000000001" customHeight="1" thickBot="1">
      <c r="A31" s="114" t="str">
        <f t="shared" si="0"/>
        <v>CAREER CERTIFICATE AND APPLIED TECHNOLOGY DIPLOMA</v>
      </c>
      <c r="B31" s="530">
        <f t="shared" si="0"/>
        <v>73.400000000000006</v>
      </c>
      <c r="C31" s="1198">
        <v>220.19</v>
      </c>
      <c r="D31" s="1198">
        <v>0</v>
      </c>
      <c r="E31" s="408"/>
      <c r="F31" s="1198">
        <v>7.07</v>
      </c>
      <c r="G31" s="1198">
        <v>14.68</v>
      </c>
      <c r="H31" s="441">
        <f>SUM(B31:G31)</f>
        <v>315.34000000000003</v>
      </c>
      <c r="I31" s="853">
        <f>H31*30</f>
        <v>9460.2000000000007</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213</v>
      </c>
      <c r="B33" s="454" t="s">
        <v>222</v>
      </c>
      <c r="C33" s="480"/>
      <c r="D33" s="480"/>
      <c r="E33" s="480"/>
      <c r="F33" s="480"/>
      <c r="G33" s="480"/>
      <c r="H33" s="392" t="s">
        <v>50</v>
      </c>
      <c r="I33" s="1050" t="s">
        <v>223</v>
      </c>
      <c r="J33" s="24"/>
      <c r="K33" s="24"/>
    </row>
    <row r="34" spans="1:11" s="37" customFormat="1" ht="20.100000000000001" customHeight="1">
      <c r="A34" s="35" t="str">
        <f>A19</f>
        <v>VOCATIONAL PREPARATORY (PER TERM)</v>
      </c>
      <c r="B34" s="455">
        <f>B19</f>
        <v>0</v>
      </c>
      <c r="C34" s="478"/>
      <c r="D34" s="478"/>
      <c r="E34" s="478"/>
      <c r="F34" s="478"/>
      <c r="G34" s="478"/>
      <c r="H34" s="858">
        <f>B34</f>
        <v>0</v>
      </c>
      <c r="I34" s="472">
        <f>H34*3</f>
        <v>0</v>
      </c>
      <c r="J34" s="456"/>
      <c r="K34" s="456"/>
    </row>
    <row r="35" spans="1:11" s="37" customFormat="1" ht="20.100000000000001" customHeight="1" thickBot="1">
      <c r="A35" s="35" t="str">
        <f>A20</f>
        <v>ADULT GENERAL EDUCATION AND SECONDARY (PER TERM)</v>
      </c>
      <c r="B35" s="859">
        <f>B20</f>
        <v>0</v>
      </c>
      <c r="C35" s="479"/>
      <c r="D35" s="479"/>
      <c r="E35" s="479"/>
      <c r="F35" s="479"/>
      <c r="G35" s="479"/>
      <c r="H35" s="457">
        <f>B35</f>
        <v>0</v>
      </c>
      <c r="I35" s="860">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8"/>
      <c r="D37" s="678"/>
      <c r="E37" s="678"/>
      <c r="F37" s="678"/>
      <c r="G37" s="678"/>
      <c r="H37" s="451">
        <f>B37</f>
        <v>0</v>
      </c>
      <c r="I37" s="471">
        <f>H37*2</f>
        <v>0</v>
      </c>
      <c r="J37" s="24"/>
      <c r="K37" s="24"/>
    </row>
    <row r="38" spans="1:11" s="37" customFormat="1" ht="20.100000000000001" customHeight="1" thickBot="1">
      <c r="A38" s="35" t="str">
        <f>A23</f>
        <v>ADULT GENERAL EDUCATION AND SECONDARY (PER HALF YEAR)</v>
      </c>
      <c r="B38" s="859">
        <f>B23</f>
        <v>0</v>
      </c>
      <c r="C38" s="479"/>
      <c r="D38" s="479"/>
      <c r="E38" s="479"/>
      <c r="F38" s="479"/>
      <c r="G38" s="479"/>
      <c r="H38" s="861">
        <f>B38</f>
        <v>0</v>
      </c>
      <c r="I38" s="473">
        <f>H38*2</f>
        <v>0</v>
      </c>
      <c r="J38" s="24"/>
      <c r="K38" s="24"/>
    </row>
    <row r="39" spans="1:11" s="37" customFormat="1" ht="20.100000000000001" customHeight="1">
      <c r="A39" s="35"/>
      <c r="B39" s="458" t="s">
        <v>230</v>
      </c>
      <c r="C39" s="24"/>
      <c r="D39" s="24"/>
      <c r="E39" s="24"/>
      <c r="F39" s="24"/>
      <c r="G39" s="24"/>
      <c r="H39" s="24"/>
      <c r="I39" s="24"/>
      <c r="J39" s="24"/>
      <c r="K39" s="24"/>
    </row>
    <row r="40" spans="1:11" ht="35.450000000000003" customHeight="1">
      <c r="A40" s="224"/>
      <c r="B40" s="1138" t="s">
        <v>771</v>
      </c>
      <c r="C40" s="1138"/>
      <c r="D40" s="1138"/>
      <c r="E40" s="1138"/>
      <c r="F40" s="1138"/>
      <c r="G40" s="1138"/>
      <c r="H40" s="1138"/>
      <c r="I40" s="113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G6dO8hnZDeLUn9wZEYIdSiqHXINnUk8bBgBcnTrvxlKaYv/tHek6blRs2CmIs/bhQwN8H1v2F6urBInv/ceskw==" saltValue="7NQc42TrmeeQ6V6GUjeWV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rintOptions horizontalCentered="1"/>
  <pageMargins left="0.2" right="0.2" top="0.25" bottom="0.25" header="0.3" footer="0.3"/>
  <pageSetup scale="45" orientation="portrait"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view="pageBreakPreview" topLeftCell="A37" zoomScale="50" zoomScaleNormal="60" zoomScaleSheetLayoutView="50" zoomScalePageLayoutView="50" workbookViewId="0">
      <selection activeCell="D53" sqref="D53"/>
    </sheetView>
  </sheetViews>
  <sheetFormatPr defaultColWidth="9.140625" defaultRowHeight="21"/>
  <cols>
    <col min="1" max="1" width="41.140625" style="37" customWidth="1"/>
    <col min="2" max="2" width="79" style="37" customWidth="1"/>
    <col min="3" max="3" width="16.28515625" style="37" customWidth="1"/>
    <col min="4" max="4" width="22.28515625" style="37" customWidth="1"/>
    <col min="5" max="5" width="24.5703125" style="37" customWidth="1"/>
    <col min="6" max="6" width="19.7109375" style="37" customWidth="1"/>
    <col min="7" max="8" width="20.42578125" style="37" customWidth="1"/>
    <col min="9" max="9" width="5.140625" style="37" customWidth="1"/>
    <col min="10" max="16384" width="9.140625" style="37"/>
  </cols>
  <sheetData>
    <row r="1" spans="1:10" ht="23.1" customHeight="1">
      <c r="H1" s="219" t="s">
        <v>231</v>
      </c>
    </row>
    <row r="2" spans="1:10" ht="20.100000000000001" customHeight="1">
      <c r="A2" s="1140" t="s">
        <v>11</v>
      </c>
      <c r="B2" s="1140"/>
      <c r="C2" s="1140"/>
      <c r="D2" s="1140"/>
      <c r="E2" s="1140"/>
      <c r="F2" s="1140"/>
      <c r="G2" s="1140"/>
      <c r="H2" s="1048"/>
      <c r="I2" s="223"/>
    </row>
    <row r="3" spans="1:10" ht="20.100000000000001" customHeight="1">
      <c r="A3" s="1140" t="s">
        <v>772</v>
      </c>
      <c r="B3" s="1140"/>
      <c r="C3" s="1140"/>
      <c r="D3" s="1140"/>
      <c r="E3" s="1140"/>
      <c r="F3" s="1140"/>
      <c r="G3" s="1140"/>
      <c r="H3" s="1048"/>
    </row>
    <row r="4" spans="1:10" ht="20.100000000000001" customHeight="1">
      <c r="A4" s="425"/>
      <c r="B4" s="425"/>
      <c r="C4" s="425"/>
      <c r="D4" s="425"/>
      <c r="E4" s="425"/>
      <c r="F4" s="425"/>
      <c r="G4" s="425"/>
      <c r="H4" s="372"/>
    </row>
    <row r="5" spans="1:10" ht="27.6" customHeight="1" thickBot="1">
      <c r="A5" s="1140" t="s">
        <v>232</v>
      </c>
      <c r="B5" s="1141" t="str">
        <f>'CHECK SHEET'!D7</f>
        <v>Valencia College</v>
      </c>
      <c r="C5" s="1141"/>
      <c r="D5" s="1141"/>
      <c r="E5" s="1141"/>
      <c r="F5" s="1141"/>
      <c r="G5" s="425"/>
      <c r="H5" s="1139"/>
    </row>
    <row r="6" spans="1:10" ht="20.100000000000001" customHeight="1">
      <c r="A6" s="425"/>
      <c r="B6" s="425"/>
      <c r="C6" s="425"/>
      <c r="D6" s="425"/>
      <c r="E6" s="425"/>
      <c r="F6" s="425"/>
      <c r="G6" s="425"/>
      <c r="H6" s="1139"/>
    </row>
    <row r="7" spans="1:10" ht="20.100000000000001" customHeight="1">
      <c r="A7" s="1045" t="s">
        <v>233</v>
      </c>
      <c r="B7" s="1045"/>
      <c r="C7" s="1045"/>
      <c r="D7" s="1045"/>
      <c r="E7" s="1045"/>
      <c r="F7" s="1045"/>
      <c r="G7" s="1045"/>
      <c r="H7" s="1045"/>
    </row>
    <row r="8" spans="1:10" ht="20.100000000000001" customHeight="1" thickBot="1">
      <c r="C8" s="35"/>
    </row>
    <row r="9" spans="1:10" ht="85.5" customHeight="1" thickBot="1">
      <c r="A9" s="373" t="s">
        <v>234</v>
      </c>
      <c r="B9" s="373" t="s">
        <v>235</v>
      </c>
      <c r="C9" s="381" t="s">
        <v>236</v>
      </c>
      <c r="D9" s="381" t="s">
        <v>237</v>
      </c>
      <c r="E9" s="381" t="s">
        <v>238</v>
      </c>
      <c r="F9" s="381" t="s">
        <v>74</v>
      </c>
      <c r="G9" s="381" t="s">
        <v>239</v>
      </c>
      <c r="H9" s="382" t="s">
        <v>240</v>
      </c>
      <c r="I9" s="412"/>
      <c r="J9" s="151"/>
    </row>
    <row r="10" spans="1:10" ht="20.100000000000001" customHeight="1">
      <c r="A10" s="680" t="s">
        <v>214</v>
      </c>
      <c r="B10" s="681" t="s">
        <v>241</v>
      </c>
      <c r="C10" s="682">
        <v>40101</v>
      </c>
      <c r="D10" s="862">
        <v>43203.65</v>
      </c>
      <c r="E10" s="683">
        <v>0</v>
      </c>
      <c r="F10" s="684">
        <f t="shared" ref="F10:F15" si="0">+D10-E10</f>
        <v>43203.65</v>
      </c>
      <c r="G10" s="684">
        <f>'EXHIBIT B'!B14</f>
        <v>91.79</v>
      </c>
      <c r="H10" s="685">
        <f>ROUND(+F10*G10,0)</f>
        <v>3965663</v>
      </c>
      <c r="I10" s="151"/>
      <c r="J10" s="151"/>
    </row>
    <row r="11" spans="1:10" ht="20.100000000000001" customHeight="1">
      <c r="A11" s="863" t="s">
        <v>214</v>
      </c>
      <c r="B11" s="863" t="s">
        <v>138</v>
      </c>
      <c r="C11" s="864" t="s">
        <v>242</v>
      </c>
      <c r="D11" s="862">
        <v>655011.86</v>
      </c>
      <c r="E11" s="862">
        <v>115355</v>
      </c>
      <c r="F11" s="865">
        <f t="shared" si="0"/>
        <v>539656.86</v>
      </c>
      <c r="G11" s="865">
        <f>+'EXHIBIT B'!B15</f>
        <v>82.66</v>
      </c>
      <c r="H11" s="866">
        <f t="shared" ref="H11:H15" si="1">ROUND(+F11*G11,0)</f>
        <v>44608036</v>
      </c>
      <c r="I11" s="151"/>
      <c r="J11" s="151"/>
    </row>
    <row r="12" spans="1:10" ht="20.100000000000001" customHeight="1">
      <c r="A12" s="863" t="s">
        <v>214</v>
      </c>
      <c r="B12" s="863" t="s">
        <v>139</v>
      </c>
      <c r="C12" s="864" t="s">
        <v>243</v>
      </c>
      <c r="D12" s="862">
        <v>244513.33</v>
      </c>
      <c r="E12" s="862">
        <v>0</v>
      </c>
      <c r="F12" s="865">
        <f t="shared" si="0"/>
        <v>244513.33</v>
      </c>
      <c r="G12" s="865">
        <f>+'EXHIBIT B'!B15</f>
        <v>82.66</v>
      </c>
      <c r="H12" s="866">
        <f t="shared" si="1"/>
        <v>20211472</v>
      </c>
      <c r="I12" s="151"/>
      <c r="J12" s="151"/>
    </row>
    <row r="13" spans="1:10" ht="20.100000000000001" customHeight="1">
      <c r="A13" s="863" t="s">
        <v>214</v>
      </c>
      <c r="B13" s="863" t="s">
        <v>85</v>
      </c>
      <c r="C13" s="864" t="s">
        <v>244</v>
      </c>
      <c r="D13" s="867">
        <v>6384.86</v>
      </c>
      <c r="E13" s="867">
        <v>0</v>
      </c>
      <c r="F13" s="865">
        <f t="shared" si="0"/>
        <v>6384.86</v>
      </c>
      <c r="G13" s="865">
        <f>+'EXHIBIT B'!B16</f>
        <v>73.400000000000006</v>
      </c>
      <c r="H13" s="866">
        <f t="shared" si="1"/>
        <v>468649</v>
      </c>
      <c r="I13" s="151"/>
      <c r="J13" s="151"/>
    </row>
    <row r="14" spans="1:10" ht="20.100000000000001" customHeight="1">
      <c r="A14" s="863" t="s">
        <v>214</v>
      </c>
      <c r="B14" s="863" t="s">
        <v>140</v>
      </c>
      <c r="C14" s="864" t="s">
        <v>245</v>
      </c>
      <c r="D14" s="862">
        <v>24874.99</v>
      </c>
      <c r="E14" s="862">
        <v>0</v>
      </c>
      <c r="F14" s="865">
        <f t="shared" si="0"/>
        <v>24874.99</v>
      </c>
      <c r="G14" s="865">
        <f>+'EXHIBIT B'!B15</f>
        <v>82.66</v>
      </c>
      <c r="H14" s="866">
        <f t="shared" si="1"/>
        <v>2056167</v>
      </c>
      <c r="I14" s="151"/>
      <c r="J14" s="151"/>
    </row>
    <row r="15" spans="1:10" ht="20.100000000000001" customHeight="1" thickBot="1">
      <c r="A15" s="868" t="s">
        <v>214</v>
      </c>
      <c r="B15" s="868" t="s">
        <v>141</v>
      </c>
      <c r="C15" s="869">
        <v>40160</v>
      </c>
      <c r="D15" s="870">
        <v>2562.9899999999998</v>
      </c>
      <c r="E15" s="870">
        <v>0</v>
      </c>
      <c r="F15" s="871">
        <f t="shared" si="0"/>
        <v>2562.9899999999998</v>
      </c>
      <c r="G15" s="871">
        <f>+'EXHIBIT B'!B15</f>
        <v>82.66</v>
      </c>
      <c r="H15" s="872">
        <f t="shared" si="1"/>
        <v>211857</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246</v>
      </c>
      <c r="C17" s="388"/>
      <c r="D17" s="389">
        <f>SUM(D10:D15)</f>
        <v>976551.67999999993</v>
      </c>
      <c r="E17" s="389">
        <f>SUM(E10:E15)</f>
        <v>115355</v>
      </c>
      <c r="F17" s="390">
        <f>SUM(F10:F15)</f>
        <v>861196.67999999993</v>
      </c>
      <c r="G17" s="390"/>
      <c r="H17" s="391">
        <f>SUM(H10:H15)</f>
        <v>71521844</v>
      </c>
      <c r="I17" s="151"/>
      <c r="J17" s="151"/>
    </row>
    <row r="18" spans="1:10" ht="88.35" customHeight="1" thickBot="1">
      <c r="A18" s="392" t="s">
        <v>247</v>
      </c>
      <c r="B18" s="373" t="s">
        <v>235</v>
      </c>
      <c r="C18" s="381" t="s">
        <v>236</v>
      </c>
      <c r="D18" s="392" t="s">
        <v>248</v>
      </c>
      <c r="E18" s="381" t="s">
        <v>239</v>
      </c>
      <c r="F18" s="382" t="s">
        <v>240</v>
      </c>
    </row>
    <row r="19" spans="1:10" ht="24.95" customHeight="1">
      <c r="A19" s="873" t="s">
        <v>229</v>
      </c>
      <c r="B19" s="873" t="s">
        <v>241</v>
      </c>
      <c r="C19" s="874">
        <v>40301</v>
      </c>
      <c r="D19" s="1202">
        <v>1317.9960000000001</v>
      </c>
      <c r="E19" s="875">
        <f>'EXHIBIT B'!C29</f>
        <v>275.37</v>
      </c>
      <c r="F19" s="876">
        <f t="shared" ref="F19:F24" si="2">ROUND(+D19*E19,0)</f>
        <v>362937</v>
      </c>
      <c r="G19" s="393"/>
      <c r="H19" s="393"/>
    </row>
    <row r="20" spans="1:10" ht="20.100000000000001" customHeight="1">
      <c r="A20" s="877" t="s">
        <v>229</v>
      </c>
      <c r="B20" s="877" t="s">
        <v>138</v>
      </c>
      <c r="C20" s="878" t="s">
        <v>249</v>
      </c>
      <c r="D20" s="885">
        <v>37532.620000000003</v>
      </c>
      <c r="E20" s="879">
        <f>+'EXHIBIT B'!C30</f>
        <v>247.87</v>
      </c>
      <c r="F20" s="880">
        <f t="shared" si="2"/>
        <v>9303211</v>
      </c>
      <c r="G20" s="394"/>
      <c r="H20" s="394"/>
    </row>
    <row r="21" spans="1:10" ht="20.100000000000001" customHeight="1">
      <c r="A21" s="877" t="s">
        <v>229</v>
      </c>
      <c r="B21" s="877" t="s">
        <v>139</v>
      </c>
      <c r="C21" s="878" t="s">
        <v>250</v>
      </c>
      <c r="D21" s="885">
        <v>14803.025</v>
      </c>
      <c r="E21" s="879">
        <f>+'EXHIBIT B'!C30</f>
        <v>247.87</v>
      </c>
      <c r="F21" s="880">
        <f t="shared" si="2"/>
        <v>3669226</v>
      </c>
      <c r="G21" s="394"/>
      <c r="H21" s="394"/>
    </row>
    <row r="22" spans="1:10" ht="20.100000000000001" customHeight="1">
      <c r="A22" s="877" t="s">
        <v>229</v>
      </c>
      <c r="B22" s="877" t="s">
        <v>85</v>
      </c>
      <c r="C22" s="878" t="s">
        <v>251</v>
      </c>
      <c r="D22" s="885">
        <v>633.63459999999998</v>
      </c>
      <c r="E22" s="879">
        <f>+'EXHIBIT B'!C31</f>
        <v>220.19</v>
      </c>
      <c r="F22" s="880">
        <f t="shared" si="2"/>
        <v>139520</v>
      </c>
      <c r="G22" s="394"/>
      <c r="H22" s="394"/>
    </row>
    <row r="23" spans="1:10" ht="20.100000000000001" customHeight="1">
      <c r="A23" s="877" t="s">
        <v>229</v>
      </c>
      <c r="B23" s="877" t="s">
        <v>140</v>
      </c>
      <c r="C23" s="878" t="s">
        <v>252</v>
      </c>
      <c r="D23" s="885">
        <v>3044.5153</v>
      </c>
      <c r="E23" s="879">
        <f>+'EXHIBIT B'!C30</f>
        <v>247.87</v>
      </c>
      <c r="F23" s="880">
        <f t="shared" si="2"/>
        <v>754644</v>
      </c>
      <c r="G23" s="394"/>
      <c r="H23" s="394"/>
    </row>
    <row r="24" spans="1:10" ht="20.100000000000001" customHeight="1" thickBot="1">
      <c r="A24" s="748" t="s">
        <v>229</v>
      </c>
      <c r="B24" s="748" t="s">
        <v>141</v>
      </c>
      <c r="C24" s="749">
        <v>40360</v>
      </c>
      <c r="D24" s="1203">
        <v>0</v>
      </c>
      <c r="E24" s="750">
        <f>+'EXHIBIT B'!C30</f>
        <v>247.87</v>
      </c>
      <c r="F24" s="751">
        <f t="shared" si="2"/>
        <v>0</v>
      </c>
      <c r="G24" s="394"/>
      <c r="H24" s="394"/>
    </row>
    <row r="25" spans="1:10" ht="20.100000000000001" customHeight="1" thickBot="1">
      <c r="A25" s="395"/>
      <c r="B25" s="395"/>
      <c r="C25" s="395"/>
      <c r="D25" s="395"/>
      <c r="E25" s="396"/>
      <c r="F25" s="397"/>
      <c r="G25" s="59"/>
      <c r="H25" s="59"/>
    </row>
    <row r="26" spans="1:10" ht="20.100000000000001" customHeight="1" thickBot="1">
      <c r="A26" s="881"/>
      <c r="B26" s="881" t="s">
        <v>246</v>
      </c>
      <c r="C26" s="881"/>
      <c r="D26" s="882">
        <f>SUM(D19:D24)</f>
        <v>57331.7909</v>
      </c>
      <c r="E26" s="883"/>
      <c r="F26" s="884">
        <f>SUM(F19:F24)</f>
        <v>14229538</v>
      </c>
      <c r="G26" s="398"/>
      <c r="H26" s="398"/>
    </row>
    <row r="27" spans="1:10" ht="20.100000000000001" customHeight="1" thickBot="1">
      <c r="A27" s="399" t="s">
        <v>253</v>
      </c>
      <c r="B27" s="399"/>
      <c r="C27" s="399"/>
      <c r="D27" s="399"/>
      <c r="E27" s="399"/>
      <c r="F27" s="400"/>
      <c r="G27" s="686"/>
      <c r="H27" s="401">
        <f>H17+F26</f>
        <v>85751382</v>
      </c>
    </row>
    <row r="28" spans="1:10" ht="24.95" customHeight="1">
      <c r="I28" s="213"/>
    </row>
    <row r="29" spans="1:10" ht="24.95" customHeight="1">
      <c r="A29" s="1045" t="s">
        <v>254</v>
      </c>
      <c r="B29" s="1045"/>
      <c r="C29" s="1045"/>
      <c r="D29" s="1045"/>
      <c r="E29" s="1045"/>
      <c r="F29" s="1045"/>
      <c r="G29" s="1045"/>
      <c r="H29" s="1045"/>
      <c r="I29" s="213"/>
    </row>
    <row r="30" spans="1:10" ht="24.95" customHeight="1" thickBot="1">
      <c r="A30" s="20"/>
      <c r="B30" s="20"/>
      <c r="C30" s="20"/>
      <c r="D30" s="20"/>
      <c r="E30" s="20"/>
      <c r="F30" s="20"/>
      <c r="G30" s="20"/>
      <c r="H30" s="20"/>
      <c r="I30" s="213"/>
    </row>
    <row r="31" spans="1:10" ht="88.35" customHeight="1" thickBot="1">
      <c r="A31" s="392" t="s">
        <v>255</v>
      </c>
      <c r="B31" s="402" t="s">
        <v>235</v>
      </c>
      <c r="C31" s="392" t="s">
        <v>236</v>
      </c>
      <c r="D31" s="392" t="s">
        <v>256</v>
      </c>
      <c r="E31" s="392" t="s">
        <v>257</v>
      </c>
      <c r="F31" s="392" t="s">
        <v>74</v>
      </c>
      <c r="G31" s="392" t="s">
        <v>258</v>
      </c>
      <c r="H31" s="1050" t="s">
        <v>240</v>
      </c>
      <c r="I31" s="213"/>
    </row>
    <row r="32" spans="1:10" ht="20.100000000000001" customHeight="1">
      <c r="A32" s="687" t="s">
        <v>259</v>
      </c>
      <c r="B32" s="687" t="s">
        <v>260</v>
      </c>
      <c r="C32" s="688" t="s">
        <v>261</v>
      </c>
      <c r="D32" s="689">
        <v>0</v>
      </c>
      <c r="E32" s="689">
        <v>0</v>
      </c>
      <c r="F32" s="690">
        <f>D32-E32</f>
        <v>0</v>
      </c>
      <c r="G32" s="690">
        <f>'EXHIBIT B'!B19</f>
        <v>0</v>
      </c>
      <c r="H32" s="691">
        <f>ROUND(+F32*G32,0)</f>
        <v>0</v>
      </c>
    </row>
    <row r="33" spans="1:12" ht="20.100000000000001" customHeight="1">
      <c r="A33" s="877" t="s">
        <v>259</v>
      </c>
      <c r="B33" s="877" t="s">
        <v>262</v>
      </c>
      <c r="C33" s="878" t="s">
        <v>263</v>
      </c>
      <c r="D33" s="885">
        <v>0</v>
      </c>
      <c r="E33" s="885">
        <v>0</v>
      </c>
      <c r="F33" s="879">
        <f>D33-E33</f>
        <v>0</v>
      </c>
      <c r="G33" s="879">
        <f>'EXHIBIT B'!B20</f>
        <v>0</v>
      </c>
      <c r="H33" s="880">
        <f>ROUND(+F33*G33,0)</f>
        <v>0</v>
      </c>
    </row>
    <row r="34" spans="1:12" ht="20.100000000000001" customHeight="1">
      <c r="A34" s="877" t="s">
        <v>264</v>
      </c>
      <c r="B34" s="877" t="s">
        <v>260</v>
      </c>
      <c r="C34" s="878">
        <v>40180</v>
      </c>
      <c r="D34" s="885">
        <v>0</v>
      </c>
      <c r="E34" s="885">
        <v>0</v>
      </c>
      <c r="F34" s="879">
        <f>D34-E34</f>
        <v>0</v>
      </c>
      <c r="G34" s="879">
        <f>'EXHIBIT B'!B22</f>
        <v>0</v>
      </c>
      <c r="H34" s="880">
        <f>ROUND(+F34*G34,0)</f>
        <v>0</v>
      </c>
    </row>
    <row r="35" spans="1:12" ht="20.100000000000001" customHeight="1" thickBot="1">
      <c r="A35" s="886" t="s">
        <v>264</v>
      </c>
      <c r="B35" s="886" t="s">
        <v>262</v>
      </c>
      <c r="C35" s="887">
        <v>40190</v>
      </c>
      <c r="D35" s="888">
        <v>0</v>
      </c>
      <c r="E35" s="888">
        <v>0</v>
      </c>
      <c r="F35" s="889">
        <f>D35-E35</f>
        <v>0</v>
      </c>
      <c r="G35" s="889">
        <f>'EXHIBIT B'!B23</f>
        <v>0</v>
      </c>
      <c r="H35" s="890">
        <f>ROUND(+F35*G35,0)</f>
        <v>0</v>
      </c>
    </row>
    <row r="36" spans="1:12" ht="20.100000000000001" customHeight="1" thickBot="1">
      <c r="A36" s="403"/>
      <c r="B36" s="377" t="s">
        <v>265</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266</v>
      </c>
      <c r="B38" s="410" t="s">
        <v>235</v>
      </c>
      <c r="C38" s="392" t="s">
        <v>236</v>
      </c>
      <c r="D38" s="411" t="s">
        <v>256</v>
      </c>
      <c r="E38" s="411" t="s">
        <v>258</v>
      </c>
      <c r="F38" s="392" t="s">
        <v>240</v>
      </c>
      <c r="G38" s="412"/>
      <c r="H38" s="412"/>
    </row>
    <row r="39" spans="1:12" ht="20.100000000000001" customHeight="1">
      <c r="A39" s="687" t="s">
        <v>259</v>
      </c>
      <c r="B39" s="687" t="s">
        <v>260</v>
      </c>
      <c r="C39" s="688">
        <v>40380</v>
      </c>
      <c r="D39" s="689">
        <v>0</v>
      </c>
      <c r="E39" s="690">
        <f>'EXHIBIT B'!B34</f>
        <v>0</v>
      </c>
      <c r="F39" s="691">
        <f>D39*E39</f>
        <v>0</v>
      </c>
      <c r="G39" s="151"/>
      <c r="H39" s="151"/>
    </row>
    <row r="40" spans="1:12" ht="20.100000000000001" customHeight="1">
      <c r="A40" s="877" t="s">
        <v>259</v>
      </c>
      <c r="B40" s="877" t="s">
        <v>262</v>
      </c>
      <c r="C40" s="878">
        <v>40390</v>
      </c>
      <c r="D40" s="885">
        <v>0</v>
      </c>
      <c r="E40" s="879">
        <f>'EXHIBIT B'!B35</f>
        <v>0</v>
      </c>
      <c r="F40" s="880">
        <f>D40*E40</f>
        <v>0</v>
      </c>
      <c r="G40" s="25"/>
      <c r="H40" s="25"/>
    </row>
    <row r="41" spans="1:12" ht="20.100000000000001" customHeight="1">
      <c r="A41" s="877" t="s">
        <v>264</v>
      </c>
      <c r="B41" s="877" t="s">
        <v>260</v>
      </c>
      <c r="C41" s="878" t="s">
        <v>267</v>
      </c>
      <c r="D41" s="885">
        <v>0</v>
      </c>
      <c r="E41" s="879">
        <f>'EXHIBIT B'!B37</f>
        <v>0</v>
      </c>
      <c r="F41" s="880">
        <f>D41*E41</f>
        <v>0</v>
      </c>
      <c r="G41" s="25"/>
      <c r="H41" s="25"/>
    </row>
    <row r="42" spans="1:12" ht="20.100000000000001" customHeight="1" thickBot="1">
      <c r="A42" s="886" t="s">
        <v>264</v>
      </c>
      <c r="B42" s="886" t="s">
        <v>262</v>
      </c>
      <c r="C42" s="887" t="s">
        <v>268</v>
      </c>
      <c r="D42" s="888">
        <v>0</v>
      </c>
      <c r="E42" s="889">
        <f>'EXHIBIT B'!B38</f>
        <v>0</v>
      </c>
      <c r="F42" s="890">
        <f>D42*E42</f>
        <v>0</v>
      </c>
      <c r="G42" s="25"/>
      <c r="H42" s="25"/>
    </row>
    <row r="43" spans="1:12" ht="20.100000000000001" customHeight="1" thickBot="1">
      <c r="A43" s="413"/>
      <c r="B43" s="414" t="s">
        <v>246</v>
      </c>
      <c r="C43" s="414"/>
      <c r="D43" s="415">
        <f>SUM(D39:D42)</f>
        <v>0</v>
      </c>
      <c r="E43" s="416"/>
      <c r="F43" s="417">
        <f>SUM(F39:F42)</f>
        <v>0</v>
      </c>
      <c r="G43" s="151"/>
      <c r="H43" s="151"/>
    </row>
    <row r="44" spans="1:12" ht="20.100000000000001" customHeight="1" thickBot="1">
      <c r="A44" s="418" t="s">
        <v>269</v>
      </c>
      <c r="B44" s="419"/>
      <c r="C44" s="419"/>
      <c r="D44" s="419"/>
      <c r="E44" s="419"/>
      <c r="F44" s="419"/>
      <c r="G44" s="420"/>
      <c r="H44" s="692">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270</v>
      </c>
      <c r="B46" s="419"/>
      <c r="C46" s="399"/>
      <c r="D46" s="399"/>
      <c r="E46" s="399"/>
      <c r="F46" s="399"/>
      <c r="G46" s="421"/>
      <c r="H46" s="436">
        <f>H27+H44</f>
        <v>85751382</v>
      </c>
      <c r="K46" s="19"/>
      <c r="L46" s="19"/>
    </row>
    <row r="47" spans="1:12" ht="24.75" customHeight="1">
      <c r="A47" s="1051"/>
      <c r="B47" s="1051"/>
      <c r="C47" s="1051"/>
      <c r="D47" s="1051"/>
      <c r="E47" s="1051"/>
      <c r="F47" s="1051"/>
      <c r="G47" s="423"/>
      <c r="H47" s="423"/>
      <c r="K47" s="19"/>
      <c r="L47" s="19"/>
    </row>
    <row r="48" spans="1:12" ht="24.95" customHeight="1">
      <c r="A48" s="674" t="s">
        <v>271</v>
      </c>
      <c r="B48" s="20"/>
      <c r="C48" s="20"/>
      <c r="D48" s="20"/>
      <c r="E48" s="20"/>
      <c r="F48" s="20"/>
      <c r="G48" s="20"/>
      <c r="H48" s="369" t="s">
        <v>231</v>
      </c>
    </row>
    <row r="49" spans="1:10" ht="24.95" customHeight="1">
      <c r="A49" s="674"/>
      <c r="B49" s="20"/>
      <c r="C49" s="20"/>
      <c r="D49" s="20"/>
      <c r="E49" s="20"/>
      <c r="F49" s="20"/>
      <c r="G49" s="20"/>
    </row>
    <row r="50" spans="1:10" ht="43.35" customHeight="1" thickBot="1">
      <c r="A50" s="1142" t="s">
        <v>272</v>
      </c>
      <c r="B50" s="1142"/>
      <c r="C50" s="20"/>
      <c r="D50" s="20"/>
      <c r="E50" s="20"/>
      <c r="F50" s="20"/>
      <c r="G50" s="20"/>
      <c r="H50" s="20"/>
    </row>
    <row r="51" spans="1:10" ht="44.45" customHeight="1" thickBot="1">
      <c r="A51" s="373" t="s">
        <v>273</v>
      </c>
      <c r="B51" s="373" t="s">
        <v>274</v>
      </c>
      <c r="C51" s="1143" t="s">
        <v>275</v>
      </c>
      <c r="D51" s="1144"/>
      <c r="E51" s="1143" t="s">
        <v>276</v>
      </c>
      <c r="F51" s="1144"/>
      <c r="G51" s="20"/>
      <c r="H51" s="20"/>
    </row>
    <row r="52" spans="1:10" ht="24.95" customHeight="1" thickBot="1">
      <c r="A52" s="374"/>
      <c r="B52" s="375"/>
      <c r="C52" s="693"/>
      <c r="D52" s="694"/>
      <c r="E52" s="693"/>
      <c r="F52" s="694"/>
    </row>
    <row r="53" spans="1:10" ht="24.95" customHeight="1" thickBot="1">
      <c r="A53" s="380" t="s">
        <v>154</v>
      </c>
      <c r="B53" s="376"/>
      <c r="C53" s="695"/>
      <c r="D53" s="696"/>
      <c r="E53" s="695"/>
      <c r="F53" s="696"/>
    </row>
    <row r="54" spans="1:10" ht="24.95" customHeight="1">
      <c r="A54" s="891" t="s">
        <v>738</v>
      </c>
      <c r="B54" s="1204">
        <v>0</v>
      </c>
      <c r="C54" s="1206"/>
      <c r="D54" s="1207"/>
      <c r="E54" s="1206"/>
      <c r="F54" s="1207"/>
    </row>
    <row r="55" spans="1:10" ht="24.95" customHeight="1">
      <c r="A55" s="892"/>
      <c r="B55" s="885">
        <v>0</v>
      </c>
      <c r="C55" s="1208"/>
      <c r="D55" s="1209"/>
      <c r="E55" s="1208"/>
      <c r="F55" s="1209"/>
      <c r="J55" s="111"/>
    </row>
    <row r="56" spans="1:10" ht="24.95" customHeight="1">
      <c r="A56" s="892"/>
      <c r="B56" s="885">
        <v>0</v>
      </c>
      <c r="C56" s="1208"/>
      <c r="D56" s="1209"/>
      <c r="E56" s="1208"/>
      <c r="F56" s="1209"/>
      <c r="I56" s="151"/>
    </row>
    <row r="57" spans="1:10" ht="24.95" customHeight="1">
      <c r="A57" s="892"/>
      <c r="B57" s="885">
        <v>0</v>
      </c>
      <c r="C57" s="1208"/>
      <c r="D57" s="1209"/>
      <c r="E57" s="1208"/>
      <c r="F57" s="1209"/>
      <c r="I57" s="151"/>
    </row>
    <row r="58" spans="1:10" ht="24.95" customHeight="1">
      <c r="A58" s="892"/>
      <c r="B58" s="885">
        <v>0</v>
      </c>
      <c r="C58" s="1208"/>
      <c r="D58" s="1209"/>
      <c r="E58" s="1208"/>
      <c r="F58" s="1209"/>
      <c r="I58" s="151"/>
    </row>
    <row r="59" spans="1:10" ht="24.95" customHeight="1" thickBot="1">
      <c r="A59" s="752"/>
      <c r="B59" s="753">
        <v>0</v>
      </c>
      <c r="C59" s="1210"/>
      <c r="D59" s="1211"/>
      <c r="E59" s="1212"/>
      <c r="F59" s="1213"/>
      <c r="I59" s="151"/>
      <c r="J59" s="113"/>
    </row>
    <row r="60" spans="1:10" ht="24.95" customHeight="1" thickBot="1">
      <c r="A60" s="377" t="s">
        <v>277</v>
      </c>
      <c r="B60" s="378">
        <f>SUM(B54:B59)</f>
        <v>0</v>
      </c>
      <c r="C60" s="1214"/>
      <c r="D60" s="1215"/>
      <c r="E60" s="1214"/>
      <c r="F60" s="1215"/>
      <c r="I60" s="424"/>
    </row>
    <row r="61" spans="1:10" ht="24.95" customHeight="1" thickBot="1">
      <c r="A61" s="379"/>
      <c r="B61" s="379"/>
      <c r="C61" s="697"/>
      <c r="D61" s="698"/>
      <c r="E61" s="697"/>
      <c r="F61" s="698"/>
      <c r="I61" s="151"/>
    </row>
    <row r="62" spans="1:10" ht="24.95" customHeight="1" thickBot="1">
      <c r="A62" s="380" t="s">
        <v>151</v>
      </c>
      <c r="B62" s="376"/>
      <c r="C62" s="695"/>
      <c r="D62" s="696"/>
      <c r="E62" s="695"/>
      <c r="F62" s="696"/>
      <c r="I62" s="151"/>
    </row>
    <row r="63" spans="1:10" ht="24.95" customHeight="1">
      <c r="A63" s="891" t="s">
        <v>789</v>
      </c>
      <c r="B63" s="1205">
        <v>2999999.73</v>
      </c>
      <c r="C63" s="1206" t="s">
        <v>791</v>
      </c>
      <c r="D63" s="1207"/>
      <c r="E63" s="1206" t="s">
        <v>790</v>
      </c>
      <c r="F63" s="1207"/>
      <c r="I63" s="151"/>
    </row>
    <row r="64" spans="1:10" ht="24.95" customHeight="1">
      <c r="A64" s="892"/>
      <c r="B64" s="885">
        <v>0</v>
      </c>
      <c r="C64" s="1208"/>
      <c r="D64" s="1209"/>
      <c r="E64" s="1208"/>
      <c r="F64" s="1209"/>
      <c r="I64" s="151"/>
    </row>
    <row r="65" spans="1:9" ht="24.95" customHeight="1">
      <c r="A65" s="892"/>
      <c r="B65" s="885">
        <v>0</v>
      </c>
      <c r="C65" s="1208"/>
      <c r="D65" s="1209"/>
      <c r="E65" s="1208"/>
      <c r="F65" s="1209"/>
      <c r="I65" s="151"/>
    </row>
    <row r="66" spans="1:9" ht="24.95" customHeight="1">
      <c r="A66" s="892"/>
      <c r="B66" s="885">
        <v>0</v>
      </c>
      <c r="C66" s="1208"/>
      <c r="D66" s="1209"/>
      <c r="E66" s="1208"/>
      <c r="F66" s="1209"/>
      <c r="I66" s="151"/>
    </row>
    <row r="67" spans="1:9" ht="24.95" customHeight="1">
      <c r="A67" s="892"/>
      <c r="B67" s="885">
        <v>0</v>
      </c>
      <c r="C67" s="1208"/>
      <c r="D67" s="1209"/>
      <c r="E67" s="1208"/>
      <c r="F67" s="1209"/>
    </row>
    <row r="68" spans="1:9" ht="24.95" customHeight="1" thickBot="1">
      <c r="A68" s="752"/>
      <c r="B68" s="753">
        <v>0</v>
      </c>
      <c r="C68" s="1212"/>
      <c r="D68" s="1213"/>
      <c r="E68" s="1212"/>
      <c r="F68" s="1213"/>
    </row>
    <row r="69" spans="1:9" ht="24.95" customHeight="1" thickBot="1">
      <c r="A69" s="377" t="s">
        <v>278</v>
      </c>
      <c r="B69" s="378">
        <f>SUM(B63:B68)</f>
        <v>2999999.73</v>
      </c>
      <c r="C69" s="1216"/>
      <c r="D69" s="1217"/>
      <c r="E69" s="1216"/>
      <c r="F69" s="1217"/>
    </row>
    <row r="70" spans="1:9" ht="24.95" customHeight="1" thickBot="1">
      <c r="A70" s="377" t="s">
        <v>279</v>
      </c>
      <c r="B70" s="378">
        <f>+B69+B60</f>
        <v>2999999.73</v>
      </c>
      <c r="C70" s="1216"/>
      <c r="D70" s="1217"/>
      <c r="E70" s="1218"/>
      <c r="F70" s="121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kXY4b+c9PnRFdv7wI3JS4SqUfIKnFLX05sEZl1QK3eielDbNAoxOW/TuYFPxcRl0Iy7BvgtSdbyMazIATUdx9w==" saltValue="fzsOL47nZlQqPJ6ruXV9v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rintOptions horizontalCentered="1"/>
  <pageMargins left="0.2" right="0.2" top="0.25" bottom="0.25" header="0.3" footer="0.3"/>
  <pageSetup scale="41" orientation="portrait" r:id="rId1"/>
  <headerFooter alignWithMargins="0"/>
  <rowBreaks count="1" manualBreakCount="1">
    <brk id="70"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AU143"/>
  <sheetViews>
    <sheetView showGridLines="0" view="pageBreakPreview" topLeftCell="A25" zoomScale="70" zoomScaleNormal="60" zoomScaleSheetLayoutView="70" zoomScalePageLayoutView="60" workbookViewId="0">
      <selection activeCell="D53" sqref="D53"/>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41" t="s">
        <v>280</v>
      </c>
      <c r="F1" s="371"/>
      <c r="AI1" s="24"/>
    </row>
    <row r="2" spans="1:47" s="37" customFormat="1" ht="24" customHeight="1">
      <c r="A2" s="371"/>
      <c r="B2" s="371"/>
      <c r="C2" s="371"/>
      <c r="D2" s="371"/>
      <c r="E2" s="371"/>
      <c r="F2" s="371"/>
      <c r="AI2" s="24"/>
    </row>
    <row r="3" spans="1:47" s="37" customFormat="1" ht="24" customHeight="1">
      <c r="A3" s="1133" t="s">
        <v>11</v>
      </c>
      <c r="B3" s="1133"/>
      <c r="C3" s="1133"/>
      <c r="D3" s="1133"/>
      <c r="E3" s="1133"/>
      <c r="F3" s="371"/>
    </row>
    <row r="4" spans="1:47" s="37" customFormat="1" ht="23.45" customHeight="1">
      <c r="A4" s="1133" t="s">
        <v>281</v>
      </c>
      <c r="B4" s="1133"/>
      <c r="C4" s="1133"/>
      <c r="D4" s="1133"/>
      <c r="E4" s="1133"/>
      <c r="F4" s="371"/>
    </row>
    <row r="5" spans="1:47" s="37" customFormat="1" ht="23.1" customHeight="1">
      <c r="A5" s="1132"/>
      <c r="B5" s="1132"/>
      <c r="C5" s="1132"/>
      <c r="D5" s="1132"/>
      <c r="E5" s="1132"/>
      <c r="F5" s="371"/>
    </row>
    <row r="6" spans="1:47" s="37" customFormat="1" ht="24.95" customHeight="1">
      <c r="A6" s="1136"/>
      <c r="B6" s="1136"/>
      <c r="C6" s="1136"/>
      <c r="D6" s="1136"/>
      <c r="E6" s="1136"/>
      <c r="F6" s="371"/>
    </row>
    <row r="7" spans="1:47" s="37" customFormat="1" ht="24.95" customHeight="1" thickBot="1">
      <c r="A7" s="1132" t="s">
        <v>232</v>
      </c>
      <c r="B7" s="1137" t="str">
        <f>'CHECK SHEET'!D7</f>
        <v>Valencia College</v>
      </c>
      <c r="C7" s="1137"/>
      <c r="D7" s="1137"/>
      <c r="E7" s="1137"/>
      <c r="F7" s="1047"/>
    </row>
    <row r="8" spans="1:47" s="37" customFormat="1" ht="24.95" customHeight="1">
      <c r="A8" s="1145"/>
      <c r="B8" s="1145"/>
      <c r="C8" s="1145"/>
      <c r="D8" s="1145"/>
      <c r="E8" s="1145"/>
    </row>
    <row r="9" spans="1:47" s="37" customFormat="1" ht="24.95" customHeight="1">
      <c r="A9" s="1146"/>
      <c r="B9" s="1147"/>
      <c r="C9" s="1147"/>
      <c r="D9" s="1147"/>
      <c r="E9" s="1147"/>
    </row>
    <row r="10" spans="1:47" s="37" customFormat="1" ht="42.6" customHeight="1">
      <c r="A10" s="1148" t="s">
        <v>282</v>
      </c>
      <c r="B10" s="1148"/>
      <c r="C10" s="1148"/>
      <c r="D10" s="1148"/>
      <c r="E10" s="1148"/>
    </row>
    <row r="11" spans="1:47" ht="24.95" customHeight="1" thickBot="1">
      <c r="A11" s="539"/>
      <c r="B11" s="539"/>
      <c r="C11" s="539"/>
      <c r="D11" s="539"/>
      <c r="E11" s="539"/>
      <c r="AI11" s="221"/>
      <c r="AT11" s="220"/>
      <c r="AU11" s="220"/>
    </row>
    <row r="12" spans="1:47" s="675" customFormat="1" ht="78" customHeight="1" thickBot="1">
      <c r="A12" s="540" t="s">
        <v>283</v>
      </c>
      <c r="B12" s="540" t="s">
        <v>235</v>
      </c>
      <c r="C12" s="541" t="s">
        <v>284</v>
      </c>
      <c r="D12" s="541" t="s">
        <v>285</v>
      </c>
      <c r="E12" s="541" t="s">
        <v>286</v>
      </c>
    </row>
    <row r="13" spans="1:47" ht="24" customHeight="1">
      <c r="A13" s="542" t="s">
        <v>214</v>
      </c>
      <c r="B13" s="542" t="s">
        <v>241</v>
      </c>
      <c r="C13" s="543">
        <v>40101</v>
      </c>
      <c r="D13" s="699">
        <v>0</v>
      </c>
      <c r="E13" s="699">
        <v>0</v>
      </c>
      <c r="AI13" s="221"/>
    </row>
    <row r="14" spans="1:47" ht="24.95" customHeight="1">
      <c r="A14" s="893" t="s">
        <v>214</v>
      </c>
      <c r="B14" s="893" t="s">
        <v>138</v>
      </c>
      <c r="C14" s="894" t="s">
        <v>242</v>
      </c>
      <c r="D14" s="568">
        <v>0</v>
      </c>
      <c r="E14" s="568">
        <v>0</v>
      </c>
      <c r="AI14" s="221"/>
    </row>
    <row r="15" spans="1:47" ht="24.95" customHeight="1">
      <c r="A15" s="893" t="s">
        <v>214</v>
      </c>
      <c r="B15" s="893" t="s">
        <v>139</v>
      </c>
      <c r="C15" s="894" t="s">
        <v>243</v>
      </c>
      <c r="D15" s="568">
        <v>0</v>
      </c>
      <c r="E15" s="568">
        <v>0</v>
      </c>
      <c r="AI15" s="221"/>
    </row>
    <row r="16" spans="1:47" ht="24.95" customHeight="1">
      <c r="A16" s="893" t="s">
        <v>214</v>
      </c>
      <c r="B16" s="893" t="s">
        <v>85</v>
      </c>
      <c r="C16" s="894" t="s">
        <v>244</v>
      </c>
      <c r="D16" s="568">
        <v>0</v>
      </c>
      <c r="E16" s="568">
        <v>0</v>
      </c>
      <c r="AI16" s="221"/>
    </row>
    <row r="17" spans="1:46" ht="24.95" customHeight="1">
      <c r="A17" s="893" t="s">
        <v>214</v>
      </c>
      <c r="B17" s="893" t="s">
        <v>140</v>
      </c>
      <c r="C17" s="894" t="s">
        <v>245</v>
      </c>
      <c r="D17" s="569">
        <v>0</v>
      </c>
      <c r="E17" s="569">
        <v>0</v>
      </c>
      <c r="AI17" s="221"/>
    </row>
    <row r="18" spans="1:46" ht="24.95" customHeight="1" thickBot="1">
      <c r="A18" s="893" t="s">
        <v>214</v>
      </c>
      <c r="B18" s="893" t="s">
        <v>141</v>
      </c>
      <c r="C18" s="894">
        <v>40160</v>
      </c>
      <c r="D18" s="570">
        <v>0</v>
      </c>
      <c r="E18" s="570">
        <v>0</v>
      </c>
      <c r="AI18" s="221"/>
    </row>
    <row r="19" spans="1:46" ht="24.95" customHeight="1" thickBot="1">
      <c r="A19" s="544"/>
      <c r="B19" s="616"/>
      <c r="C19" s="617"/>
      <c r="D19" s="1220"/>
      <c r="E19" s="1221"/>
      <c r="AI19" s="221"/>
    </row>
    <row r="20" spans="1:46" ht="24.95" customHeight="1" thickBot="1">
      <c r="A20" s="895"/>
      <c r="B20" s="896" t="s">
        <v>246</v>
      </c>
      <c r="C20" s="896"/>
      <c r="D20" s="896"/>
      <c r="E20" s="897">
        <f>SUM(E13:E18)</f>
        <v>0</v>
      </c>
      <c r="AI20" s="221"/>
    </row>
    <row r="21" spans="1:46" ht="78" customHeight="1" thickBot="1">
      <c r="A21" s="540" t="s">
        <v>283</v>
      </c>
      <c r="B21" s="540" t="s">
        <v>235</v>
      </c>
      <c r="C21" s="541" t="s">
        <v>284</v>
      </c>
      <c r="D21" s="541" t="s">
        <v>287</v>
      </c>
      <c r="E21" s="541" t="s">
        <v>286</v>
      </c>
      <c r="AI21" s="221"/>
    </row>
    <row r="22" spans="1:46" s="218" customFormat="1" ht="24.95" customHeight="1">
      <c r="A22" s="700" t="s">
        <v>229</v>
      </c>
      <c r="B22" s="618" t="s">
        <v>241</v>
      </c>
      <c r="C22" s="619">
        <v>40301</v>
      </c>
      <c r="D22" s="699">
        <v>0</v>
      </c>
      <c r="E22" s="699">
        <v>0</v>
      </c>
    </row>
    <row r="23" spans="1:46" s="218" customFormat="1" ht="24.95" customHeight="1">
      <c r="A23" s="893" t="s">
        <v>229</v>
      </c>
      <c r="B23" s="754" t="s">
        <v>138</v>
      </c>
      <c r="C23" s="783" t="s">
        <v>249</v>
      </c>
      <c r="D23" s="898">
        <v>0</v>
      </c>
      <c r="E23" s="898">
        <v>0</v>
      </c>
    </row>
    <row r="24" spans="1:46" s="218" customFormat="1" ht="24.95" customHeight="1">
      <c r="A24" s="893" t="s">
        <v>229</v>
      </c>
      <c r="B24" s="754" t="s">
        <v>139</v>
      </c>
      <c r="C24" s="783" t="s">
        <v>250</v>
      </c>
      <c r="D24" s="898">
        <v>0</v>
      </c>
      <c r="E24" s="898">
        <v>0</v>
      </c>
    </row>
    <row r="25" spans="1:46" s="218" customFormat="1" ht="24.95" customHeight="1">
      <c r="A25" s="893" t="s">
        <v>229</v>
      </c>
      <c r="B25" s="754" t="s">
        <v>85</v>
      </c>
      <c r="C25" s="783" t="s">
        <v>251</v>
      </c>
      <c r="D25" s="898">
        <v>0</v>
      </c>
      <c r="E25" s="898">
        <v>0</v>
      </c>
    </row>
    <row r="26" spans="1:46" s="218" customFormat="1" ht="24.95" customHeight="1">
      <c r="A26" s="893" t="s">
        <v>229</v>
      </c>
      <c r="B26" s="754" t="s">
        <v>140</v>
      </c>
      <c r="C26" s="783" t="s">
        <v>252</v>
      </c>
      <c r="D26" s="898">
        <v>0</v>
      </c>
      <c r="E26" s="898">
        <v>0</v>
      </c>
    </row>
    <row r="27" spans="1:46" s="218" customFormat="1" ht="24.95" customHeight="1" thickBot="1">
      <c r="A27" s="482" t="s">
        <v>229</v>
      </c>
      <c r="B27" s="618" t="s">
        <v>141</v>
      </c>
      <c r="C27" s="545">
        <v>40360</v>
      </c>
      <c r="D27" s="570">
        <v>0</v>
      </c>
      <c r="E27" s="571">
        <v>0</v>
      </c>
    </row>
    <row r="28" spans="1:46" ht="24.95" customHeight="1" thickBot="1">
      <c r="A28" s="620"/>
      <c r="B28" s="621"/>
      <c r="C28" s="620"/>
      <c r="D28" s="546"/>
      <c r="E28" s="622"/>
      <c r="AI28" s="221"/>
    </row>
    <row r="29" spans="1:46" ht="24.95" customHeight="1" thickBot="1">
      <c r="A29" s="701"/>
      <c r="B29" s="623" t="s">
        <v>246</v>
      </c>
      <c r="C29" s="547"/>
      <c r="D29" s="547"/>
      <c r="E29" s="624">
        <f>SUM(E22:E27)</f>
        <v>0</v>
      </c>
      <c r="AI29" s="221"/>
      <c r="AT29" s="548"/>
    </row>
    <row r="30" spans="1:46" ht="24.95" customHeight="1" thickBot="1">
      <c r="A30" s="547" t="s">
        <v>288</v>
      </c>
      <c r="B30" s="549"/>
      <c r="C30" s="550"/>
      <c r="D30" s="550"/>
      <c r="E30" s="551">
        <f>E20+E29</f>
        <v>0</v>
      </c>
      <c r="AI30" s="221"/>
    </row>
    <row r="31" spans="1:46" ht="24.95" customHeight="1">
      <c r="A31" s="538"/>
      <c r="B31" s="539"/>
      <c r="C31" s="539"/>
      <c r="D31" s="539"/>
      <c r="E31" s="539"/>
      <c r="AI31" s="221"/>
    </row>
    <row r="32" spans="1:46" ht="24.95" customHeight="1" thickBot="1">
      <c r="A32" s="607" t="s">
        <v>289</v>
      </c>
      <c r="B32" s="539"/>
      <c r="C32" s="539"/>
      <c r="D32" s="539"/>
      <c r="E32" s="539"/>
      <c r="AI32" s="221"/>
    </row>
    <row r="33" spans="1:46" ht="24.95" customHeight="1">
      <c r="A33" s="1052"/>
      <c r="B33" s="1053"/>
      <c r="C33" s="1053"/>
      <c r="D33" s="1053"/>
      <c r="E33" s="1054"/>
      <c r="AI33" s="221"/>
    </row>
    <row r="34" spans="1:46" ht="24.95" customHeight="1">
      <c r="A34" s="1055"/>
      <c r="B34" s="1056"/>
      <c r="C34" s="1056"/>
      <c r="D34" s="1056"/>
      <c r="E34" s="1057"/>
      <c r="AI34" s="221"/>
    </row>
    <row r="35" spans="1:46" s="548" customFormat="1" ht="24.95" customHeight="1">
      <c r="A35" s="1055"/>
      <c r="B35" s="1056"/>
      <c r="C35" s="1056"/>
      <c r="D35" s="1056"/>
      <c r="E35" s="105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55"/>
      <c r="B36" s="1056"/>
      <c r="C36" s="1056"/>
      <c r="D36" s="1056"/>
      <c r="E36" s="1057"/>
      <c r="AI36" s="221"/>
    </row>
    <row r="37" spans="1:46" ht="24.95" customHeight="1" thickBot="1">
      <c r="A37" s="1058"/>
      <c r="B37" s="1059"/>
      <c r="C37" s="1059"/>
      <c r="D37" s="1059"/>
      <c r="E37" s="106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2" right="0.2" top="0.25" bottom="0.25" header="0.3" footer="0.3"/>
  <pageSetup scale="52" orientation="portrait" r:id="rId1"/>
  <headerFooter alignWithMargins="0"/>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view="pageBreakPreview" zoomScale="70" zoomScaleNormal="70" zoomScaleSheetLayoutView="70" zoomScalePageLayoutView="70" workbookViewId="0">
      <selection activeCell="D53" sqref="D53"/>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49"/>
      <c r="B1" s="1149"/>
      <c r="C1" s="1149"/>
      <c r="D1" s="1149"/>
      <c r="E1" s="1149"/>
      <c r="F1" s="1149"/>
      <c r="G1" s="1150"/>
    </row>
    <row r="2" spans="1:8" ht="30" customHeight="1" thickBot="1">
      <c r="A2" s="1150" t="s">
        <v>192</v>
      </c>
      <c r="B2" s="1137" t="str">
        <f>'CHECK SHEET'!D7</f>
        <v>Valencia College</v>
      </c>
      <c r="C2" s="1137"/>
      <c r="D2" s="1137"/>
      <c r="E2" s="1137"/>
      <c r="F2" s="1137"/>
      <c r="G2" s="1151"/>
    </row>
    <row r="3" spans="1:8" ht="23.1" customHeight="1">
      <c r="A3" s="1133" t="s">
        <v>290</v>
      </c>
      <c r="B3" s="1133"/>
      <c r="C3" s="1133"/>
      <c r="D3" s="1133"/>
      <c r="E3" s="1133"/>
      <c r="F3" s="1133"/>
      <c r="G3" s="1133"/>
    </row>
    <row r="4" spans="1:8" ht="23.45" customHeight="1">
      <c r="A4" s="1133" t="s">
        <v>291</v>
      </c>
      <c r="B4" s="1133"/>
      <c r="C4" s="1133"/>
      <c r="D4" s="1133"/>
      <c r="E4" s="1133"/>
      <c r="F4" s="1133"/>
      <c r="G4" s="1133"/>
    </row>
    <row r="5" spans="1:8" ht="23.45" customHeight="1">
      <c r="A5" s="1133" t="s">
        <v>773</v>
      </c>
      <c r="B5" s="1133"/>
      <c r="C5" s="1133"/>
      <c r="D5" s="1133"/>
      <c r="E5" s="1133"/>
      <c r="F5" s="1133"/>
      <c r="G5" s="1133"/>
    </row>
    <row r="6" spans="1:8" ht="20.100000000000001" customHeight="1">
      <c r="A6" s="1152"/>
      <c r="B6" s="1152"/>
      <c r="C6" s="1152"/>
      <c r="D6" s="1152"/>
      <c r="E6" s="1152"/>
      <c r="F6" s="1152"/>
      <c r="G6" s="1152"/>
    </row>
    <row r="7" spans="1:8" ht="38.450000000000003" customHeight="1">
      <c r="A7" s="1153" t="s">
        <v>292</v>
      </c>
      <c r="B7" s="1153"/>
      <c r="C7" s="1153"/>
      <c r="D7" s="1153"/>
      <c r="E7" s="1153"/>
      <c r="F7" s="1153"/>
      <c r="G7" s="1153"/>
      <c r="H7" s="228"/>
    </row>
    <row r="8" spans="1:8" ht="20.100000000000001" customHeight="1">
      <c r="A8" s="227"/>
      <c r="B8" s="227"/>
      <c r="C8" s="227"/>
      <c r="D8" s="227"/>
      <c r="E8" s="227"/>
      <c r="F8" s="227"/>
      <c r="G8" s="227"/>
      <c r="H8" s="668"/>
    </row>
    <row r="9" spans="1:8" ht="76.349999999999994" customHeight="1">
      <c r="A9" s="648" t="s">
        <v>293</v>
      </c>
      <c r="B9" s="649" t="s">
        <v>294</v>
      </c>
      <c r="C9" s="649"/>
      <c r="D9" s="649"/>
      <c r="E9" s="649"/>
      <c r="F9" s="650" t="s">
        <v>284</v>
      </c>
      <c r="G9" s="651" t="s">
        <v>295</v>
      </c>
      <c r="H9" s="222"/>
    </row>
    <row r="10" spans="1:8" ht="20.100000000000001" customHeight="1">
      <c r="A10" s="669" t="s">
        <v>234</v>
      </c>
      <c r="B10" s="670"/>
      <c r="C10" s="670"/>
      <c r="D10" s="670"/>
      <c r="E10" s="670"/>
      <c r="F10" s="671"/>
      <c r="G10" s="672"/>
      <c r="H10" s="222"/>
    </row>
    <row r="11" spans="1:8" ht="20.100000000000001" customHeight="1">
      <c r="A11" s="628"/>
      <c r="B11" s="229"/>
      <c r="C11" s="229"/>
      <c r="D11" s="229"/>
      <c r="E11" s="229"/>
      <c r="F11" s="230"/>
      <c r="G11" s="231"/>
      <c r="H11" s="222"/>
    </row>
    <row r="12" spans="1:8" ht="20.100000000000001" customHeight="1">
      <c r="A12" s="629" t="s">
        <v>214</v>
      </c>
      <c r="B12" s="232"/>
      <c r="C12" s="232" t="s">
        <v>241</v>
      </c>
      <c r="D12" s="232"/>
      <c r="E12" s="232"/>
      <c r="F12" s="233">
        <v>40101</v>
      </c>
      <c r="G12" s="234">
        <f>+'EXHIBIT C'!H10+'EXHIBIT C(2)'!E13</f>
        <v>3965663</v>
      </c>
      <c r="H12" s="222"/>
    </row>
    <row r="13" spans="1:8" ht="20.100000000000001" customHeight="1">
      <c r="A13" s="628" t="s">
        <v>214</v>
      </c>
      <c r="B13" s="229"/>
      <c r="C13" s="222" t="s">
        <v>138</v>
      </c>
      <c r="D13" s="229"/>
      <c r="E13" s="229"/>
      <c r="F13" s="235" t="s">
        <v>242</v>
      </c>
      <c r="G13" s="234">
        <f>+'EXHIBIT C'!H11+'EXHIBIT C(2)'!E14</f>
        <v>44608036</v>
      </c>
      <c r="H13" s="222"/>
    </row>
    <row r="14" spans="1:8" ht="20.100000000000001" customHeight="1">
      <c r="A14" s="628" t="s">
        <v>214</v>
      </c>
      <c r="B14" s="229"/>
      <c r="C14" s="229" t="s">
        <v>139</v>
      </c>
      <c r="D14" s="229"/>
      <c r="E14" s="229"/>
      <c r="F14" s="235" t="s">
        <v>243</v>
      </c>
      <c r="G14" s="652">
        <f>+'EXHIBIT C'!H12+'EXHIBIT C(2)'!E15</f>
        <v>20211472</v>
      </c>
      <c r="H14" s="222"/>
    </row>
    <row r="15" spans="1:8" ht="20.100000000000001" customHeight="1">
      <c r="A15" s="628" t="s">
        <v>214</v>
      </c>
      <c r="B15" s="229"/>
      <c r="C15" s="236" t="s">
        <v>296</v>
      </c>
      <c r="D15" s="229"/>
      <c r="E15" s="229"/>
      <c r="F15" s="235" t="s">
        <v>244</v>
      </c>
      <c r="G15" s="652">
        <f>+'EXHIBIT C'!H13+'EXHIBIT C(2)'!E16</f>
        <v>468649</v>
      </c>
      <c r="H15" s="222"/>
    </row>
    <row r="16" spans="1:8" ht="20.100000000000001" customHeight="1">
      <c r="A16" s="628" t="s">
        <v>214</v>
      </c>
      <c r="B16" s="229"/>
      <c r="C16" s="236" t="s">
        <v>297</v>
      </c>
      <c r="D16" s="229"/>
      <c r="E16" s="229"/>
      <c r="F16" s="235" t="s">
        <v>245</v>
      </c>
      <c r="G16" s="653">
        <f>+'EXHIBIT C'!H14+'EXHIBIT C(2)'!E17</f>
        <v>2056167</v>
      </c>
      <c r="H16" s="222"/>
    </row>
    <row r="17" spans="1:8" ht="20.100000000000001" customHeight="1">
      <c r="A17" s="628" t="s">
        <v>214</v>
      </c>
      <c r="B17" s="229"/>
      <c r="C17" s="222" t="s">
        <v>141</v>
      </c>
      <c r="D17" s="229"/>
      <c r="E17" s="229"/>
      <c r="F17" s="238">
        <v>40160</v>
      </c>
      <c r="G17" s="653">
        <f>+'EXHIBIT C'!H15+'EXHIBIT C(2)'!E18</f>
        <v>211857</v>
      </c>
      <c r="H17" s="222"/>
    </row>
    <row r="18" spans="1:8" ht="20.100000000000001" customHeight="1">
      <c r="A18" s="628"/>
      <c r="B18" s="229"/>
      <c r="C18" s="229"/>
      <c r="D18" s="229"/>
      <c r="E18" s="229"/>
      <c r="F18" s="235"/>
      <c r="G18" s="237"/>
      <c r="H18" s="222"/>
    </row>
    <row r="19" spans="1:8" ht="20.100000000000001" customHeight="1">
      <c r="A19" s="630" t="s">
        <v>298</v>
      </c>
      <c r="B19" s="229"/>
      <c r="C19" s="229"/>
      <c r="D19" s="229"/>
      <c r="E19" s="229"/>
      <c r="F19" s="235"/>
      <c r="G19" s="899">
        <f>SUM(G12:G17)</f>
        <v>71521844</v>
      </c>
      <c r="H19" s="222"/>
    </row>
    <row r="20" spans="1:8" ht="20.100000000000001" customHeight="1">
      <c r="A20" s="628"/>
      <c r="B20" s="229"/>
      <c r="C20" s="229"/>
      <c r="D20" s="229"/>
      <c r="E20" s="229"/>
      <c r="F20" s="235"/>
      <c r="G20" s="239"/>
      <c r="H20" s="222"/>
    </row>
    <row r="21" spans="1:8" ht="20.100000000000001" customHeight="1">
      <c r="A21" s="629" t="s">
        <v>229</v>
      </c>
      <c r="B21" s="232"/>
      <c r="C21" s="232" t="s">
        <v>241</v>
      </c>
      <c r="D21" s="232"/>
      <c r="E21" s="232"/>
      <c r="F21" s="233">
        <v>40301</v>
      </c>
      <c r="G21" s="240">
        <f>+'EXHIBIT C'!F19+'EXHIBIT C(2)'!E22</f>
        <v>362937</v>
      </c>
      <c r="H21" s="665"/>
    </row>
    <row r="22" spans="1:8" ht="20.100000000000001" customHeight="1">
      <c r="A22" s="629" t="s">
        <v>229</v>
      </c>
      <c r="B22" s="229"/>
      <c r="C22" s="222" t="s">
        <v>138</v>
      </c>
      <c r="D22" s="229"/>
      <c r="E22" s="229"/>
      <c r="F22" s="235" t="s">
        <v>249</v>
      </c>
      <c r="G22" s="240">
        <f>+'EXHIBIT C'!F20+'EXHIBIT C(2)'!E23</f>
        <v>9303211</v>
      </c>
      <c r="H22" s="222"/>
    </row>
    <row r="23" spans="1:8" ht="20.100000000000001" customHeight="1">
      <c r="A23" s="629" t="s">
        <v>229</v>
      </c>
      <c r="B23" s="229"/>
      <c r="C23" s="229" t="s">
        <v>139</v>
      </c>
      <c r="D23" s="229"/>
      <c r="E23" s="229"/>
      <c r="F23" s="235" t="s">
        <v>250</v>
      </c>
      <c r="G23" s="245">
        <f>+'EXHIBIT C'!F21+'EXHIBIT C(2)'!E24</f>
        <v>3669226</v>
      </c>
      <c r="H23" s="222"/>
    </row>
    <row r="24" spans="1:8" ht="20.100000000000001" customHeight="1">
      <c r="A24" s="629" t="s">
        <v>229</v>
      </c>
      <c r="B24" s="229"/>
      <c r="C24" s="236" t="s">
        <v>296</v>
      </c>
      <c r="D24" s="229"/>
      <c r="E24" s="229"/>
      <c r="F24" s="235" t="s">
        <v>251</v>
      </c>
      <c r="G24" s="245">
        <f>+'EXHIBIT C'!F22+'EXHIBIT C(2)'!E25</f>
        <v>139520</v>
      </c>
      <c r="H24" s="222"/>
    </row>
    <row r="25" spans="1:8" ht="20.100000000000001" customHeight="1">
      <c r="A25" s="629" t="s">
        <v>229</v>
      </c>
      <c r="B25" s="229"/>
      <c r="C25" s="236" t="s">
        <v>297</v>
      </c>
      <c r="D25" s="229"/>
      <c r="E25" s="229"/>
      <c r="F25" s="235" t="s">
        <v>252</v>
      </c>
      <c r="G25" s="245">
        <f>+'EXHIBIT C'!F23+'EXHIBIT C(2)'!E26</f>
        <v>754644</v>
      </c>
      <c r="H25" s="222"/>
    </row>
    <row r="26" spans="1:8" ht="20.100000000000001" customHeight="1">
      <c r="A26" s="629" t="s">
        <v>229</v>
      </c>
      <c r="B26" s="229"/>
      <c r="C26" s="222" t="s">
        <v>141</v>
      </c>
      <c r="D26" s="229"/>
      <c r="E26" s="229"/>
      <c r="F26" s="238">
        <v>40360</v>
      </c>
      <c r="G26" s="245">
        <f>+'EXHIBIT C'!F24+'EXHIBIT C(2)'!E27</f>
        <v>0</v>
      </c>
      <c r="H26" s="222"/>
    </row>
    <row r="27" spans="1:8" ht="20.100000000000001" customHeight="1">
      <c r="A27" s="628"/>
      <c r="B27" s="229"/>
      <c r="C27" s="229"/>
      <c r="D27" s="229"/>
      <c r="E27" s="229"/>
      <c r="F27" s="235"/>
      <c r="G27" s="241"/>
      <c r="H27" s="222"/>
    </row>
    <row r="28" spans="1:8" ht="20.100000000000001" customHeight="1">
      <c r="A28" s="630" t="s">
        <v>299</v>
      </c>
      <c r="B28" s="229"/>
      <c r="C28" s="229"/>
      <c r="D28" s="229"/>
      <c r="E28" s="229"/>
      <c r="F28" s="235"/>
      <c r="G28" s="900">
        <f>SUM(G21:G26)</f>
        <v>14229538</v>
      </c>
      <c r="H28" s="222"/>
    </row>
    <row r="29" spans="1:8" ht="20.100000000000001" customHeight="1">
      <c r="A29" s="628"/>
      <c r="B29" s="229"/>
      <c r="C29" s="229"/>
      <c r="D29" s="229"/>
      <c r="E29" s="229"/>
      <c r="F29" s="235"/>
      <c r="G29" s="242"/>
      <c r="H29" s="222"/>
    </row>
    <row r="30" spans="1:8" ht="20.100000000000001" customHeight="1">
      <c r="A30" s="628" t="s">
        <v>300</v>
      </c>
      <c r="B30" s="229"/>
      <c r="C30" s="1062" t="s">
        <v>260</v>
      </c>
      <c r="D30" s="1062"/>
      <c r="E30" s="1062"/>
      <c r="F30" s="235" t="s">
        <v>261</v>
      </c>
      <c r="G30" s="243">
        <f>'EXHIBIT C'!H32</f>
        <v>0</v>
      </c>
      <c r="H30" s="222"/>
    </row>
    <row r="31" spans="1:8" ht="20.100000000000001" customHeight="1">
      <c r="A31" s="628" t="s">
        <v>300</v>
      </c>
      <c r="B31" s="229"/>
      <c r="C31" s="222" t="s">
        <v>262</v>
      </c>
      <c r="D31" s="229"/>
      <c r="E31" s="229"/>
      <c r="F31" s="235" t="s">
        <v>263</v>
      </c>
      <c r="G31" s="243">
        <f>'EXHIBIT C'!H33</f>
        <v>0</v>
      </c>
      <c r="H31" s="222"/>
    </row>
    <row r="32" spans="1:8" ht="20.100000000000001" customHeight="1">
      <c r="A32" s="628" t="s">
        <v>301</v>
      </c>
      <c r="B32" s="229"/>
      <c r="C32" s="229" t="s">
        <v>260</v>
      </c>
      <c r="D32" s="229"/>
      <c r="E32" s="229"/>
      <c r="F32" s="235" t="s">
        <v>261</v>
      </c>
      <c r="G32" s="243">
        <f>'EXHIBIT C'!H34</f>
        <v>0</v>
      </c>
      <c r="H32" s="222"/>
    </row>
    <row r="33" spans="1:8" ht="20.100000000000001" customHeight="1">
      <c r="A33" s="628" t="s">
        <v>301</v>
      </c>
      <c r="B33" s="229"/>
      <c r="C33" s="222" t="s">
        <v>262</v>
      </c>
      <c r="D33" s="229"/>
      <c r="E33" s="229"/>
      <c r="F33" s="235" t="s">
        <v>263</v>
      </c>
      <c r="G33" s="243">
        <f>'EXHIBIT C'!H35</f>
        <v>0</v>
      </c>
      <c r="H33" s="222"/>
    </row>
    <row r="34" spans="1:8" ht="20.100000000000001" customHeight="1">
      <c r="A34" s="628"/>
      <c r="B34" s="229"/>
      <c r="C34" s="229"/>
      <c r="D34" s="229"/>
      <c r="E34" s="229"/>
      <c r="F34" s="235"/>
      <c r="G34" s="244"/>
      <c r="H34" s="222"/>
    </row>
    <row r="35" spans="1:8" ht="20.100000000000001" customHeight="1">
      <c r="A35" s="630" t="s">
        <v>302</v>
      </c>
      <c r="B35" s="229"/>
      <c r="C35" s="229"/>
      <c r="D35" s="229"/>
      <c r="E35" s="229"/>
      <c r="F35" s="235"/>
      <c r="G35" s="900">
        <f>SUM(G30:G33)</f>
        <v>0</v>
      </c>
      <c r="H35" s="222"/>
    </row>
    <row r="36" spans="1:8" ht="20.100000000000001" customHeight="1">
      <c r="A36" s="628"/>
      <c r="B36" s="229"/>
      <c r="C36" s="229"/>
      <c r="D36" s="229"/>
      <c r="E36" s="229"/>
      <c r="F36" s="235"/>
      <c r="G36" s="241"/>
      <c r="H36" s="222"/>
    </row>
    <row r="37" spans="1:8" ht="20.100000000000001" customHeight="1">
      <c r="A37" s="628" t="s">
        <v>303</v>
      </c>
      <c r="B37" s="229"/>
      <c r="C37" s="229" t="s">
        <v>260</v>
      </c>
      <c r="D37" s="229"/>
      <c r="E37" s="229"/>
      <c r="F37" s="235" t="s">
        <v>267</v>
      </c>
      <c r="G37" s="245">
        <f>'EXHIBIT C'!F39</f>
        <v>0</v>
      </c>
      <c r="H37" s="222"/>
    </row>
    <row r="38" spans="1:8" ht="20.100000000000001" customHeight="1">
      <c r="A38" s="628" t="s">
        <v>303</v>
      </c>
      <c r="B38" s="229"/>
      <c r="C38" s="1063" t="s">
        <v>262</v>
      </c>
      <c r="D38" s="1063"/>
      <c r="E38" s="1063"/>
      <c r="F38" s="235" t="s">
        <v>268</v>
      </c>
      <c r="G38" s="245">
        <f>'EXHIBIT C'!F40</f>
        <v>0</v>
      </c>
      <c r="H38" s="222"/>
    </row>
    <row r="39" spans="1:8" ht="20.100000000000001" customHeight="1">
      <c r="A39" s="628" t="s">
        <v>304</v>
      </c>
      <c r="B39" s="229"/>
      <c r="C39" s="229" t="s">
        <v>260</v>
      </c>
      <c r="D39" s="229"/>
      <c r="E39" s="229"/>
      <c r="F39" s="235" t="s">
        <v>267</v>
      </c>
      <c r="G39" s="245">
        <f>'EXHIBIT C'!F41</f>
        <v>0</v>
      </c>
      <c r="H39" s="222"/>
    </row>
    <row r="40" spans="1:8" ht="20.100000000000001" customHeight="1">
      <c r="A40" s="628" t="s">
        <v>304</v>
      </c>
      <c r="B40" s="229"/>
      <c r="C40" s="1063" t="s">
        <v>262</v>
      </c>
      <c r="D40" s="1063"/>
      <c r="E40" s="1063"/>
      <c r="F40" s="235" t="s">
        <v>268</v>
      </c>
      <c r="G40" s="245">
        <f>'EXHIBIT C'!F42</f>
        <v>0</v>
      </c>
      <c r="H40" s="222"/>
    </row>
    <row r="41" spans="1:8" ht="20.100000000000001" customHeight="1">
      <c r="A41" s="628"/>
      <c r="B41" s="229"/>
      <c r="C41" s="229"/>
      <c r="D41" s="229"/>
      <c r="E41" s="229"/>
      <c r="F41" s="235"/>
      <c r="G41" s="241"/>
      <c r="H41" s="222"/>
    </row>
    <row r="42" spans="1:8" ht="20.100000000000001" customHeight="1">
      <c r="A42" s="630" t="s">
        <v>305</v>
      </c>
      <c r="B42" s="229"/>
      <c r="C42" s="229"/>
      <c r="D42" s="229"/>
      <c r="E42" s="229"/>
      <c r="F42" s="235"/>
      <c r="G42" s="900">
        <f>SUM(G37:G41)</f>
        <v>0</v>
      </c>
      <c r="H42" s="222"/>
    </row>
    <row r="43" spans="1:8" ht="20.100000000000001" customHeight="1">
      <c r="A43" s="628"/>
      <c r="B43" s="229"/>
      <c r="C43" s="229"/>
      <c r="D43" s="229"/>
      <c r="E43" s="229"/>
      <c r="F43" s="235"/>
      <c r="G43" s="242"/>
      <c r="H43" s="222"/>
    </row>
    <row r="44" spans="1:8" ht="20.100000000000001" customHeight="1">
      <c r="A44" s="630" t="s">
        <v>306</v>
      </c>
      <c r="B44" s="229"/>
      <c r="C44" s="229"/>
      <c r="D44" s="229"/>
      <c r="E44" s="229"/>
      <c r="F44" s="235"/>
      <c r="G44" s="901">
        <f>G19+G28+G35+G42</f>
        <v>85751382</v>
      </c>
      <c r="H44" s="222"/>
    </row>
    <row r="45" spans="1:8" ht="20.100000000000001" customHeight="1">
      <c r="A45" s="628"/>
      <c r="B45" s="229"/>
      <c r="C45" s="229"/>
      <c r="D45" s="229"/>
      <c r="E45" s="229"/>
      <c r="F45" s="235"/>
      <c r="G45" s="241"/>
      <c r="H45" s="222"/>
    </row>
    <row r="46" spans="1:8" ht="20.100000000000001" customHeight="1">
      <c r="A46" s="628" t="s">
        <v>307</v>
      </c>
      <c r="B46" s="229"/>
      <c r="C46" s="229"/>
      <c r="D46" s="229"/>
      <c r="E46" s="229"/>
      <c r="F46" s="235" t="s">
        <v>308</v>
      </c>
      <c r="G46" s="572">
        <v>0</v>
      </c>
      <c r="H46" s="222"/>
    </row>
    <row r="47" spans="1:8" ht="20.100000000000001" customHeight="1">
      <c r="A47" s="628" t="s">
        <v>309</v>
      </c>
      <c r="B47" s="246"/>
      <c r="C47" s="246"/>
      <c r="D47" s="246"/>
      <c r="E47" s="246"/>
      <c r="F47" s="247" t="s">
        <v>310</v>
      </c>
      <c r="G47" s="572">
        <v>10142066</v>
      </c>
      <c r="H47" s="665"/>
    </row>
    <row r="48" spans="1:8" ht="20.100000000000001" customHeight="1">
      <c r="A48" s="628" t="s">
        <v>311</v>
      </c>
      <c r="B48" s="222"/>
      <c r="C48" s="246"/>
      <c r="D48" s="246"/>
      <c r="E48" s="246"/>
      <c r="F48" s="247" t="s">
        <v>312</v>
      </c>
      <c r="G48" s="572">
        <v>1412897</v>
      </c>
      <c r="H48" s="665"/>
    </row>
    <row r="49" spans="1:8" ht="20.100000000000001" customHeight="1">
      <c r="A49" s="628" t="s">
        <v>313</v>
      </c>
      <c r="B49" s="229"/>
      <c r="C49" s="229"/>
      <c r="D49" s="229"/>
      <c r="E49" s="229"/>
      <c r="F49" s="248" t="s">
        <v>314</v>
      </c>
      <c r="G49" s="572">
        <v>0</v>
      </c>
      <c r="H49" s="222"/>
    </row>
    <row r="50" spans="1:8" ht="20.100000000000001" customHeight="1">
      <c r="A50" s="628" t="s">
        <v>315</v>
      </c>
      <c r="B50" s="229"/>
      <c r="C50" s="229"/>
      <c r="D50" s="229"/>
      <c r="E50" s="229"/>
      <c r="F50" s="248" t="s">
        <v>316</v>
      </c>
      <c r="G50" s="572">
        <v>2979733</v>
      </c>
      <c r="H50" s="222"/>
    </row>
    <row r="51" spans="1:8" ht="20.100000000000001" customHeight="1">
      <c r="A51" s="628" t="s">
        <v>317</v>
      </c>
      <c r="B51" s="229"/>
      <c r="C51" s="229"/>
      <c r="D51" s="229"/>
      <c r="E51" s="229"/>
      <c r="F51" s="233">
        <v>40450</v>
      </c>
      <c r="G51" s="572">
        <v>4712550.4000000004</v>
      </c>
      <c r="H51" s="222"/>
    </row>
    <row r="52" spans="1:8" ht="20.100000000000001" customHeight="1">
      <c r="A52" s="628" t="s">
        <v>318</v>
      </c>
      <c r="B52" s="229"/>
      <c r="C52" s="229"/>
      <c r="D52" s="229"/>
      <c r="E52" s="229"/>
      <c r="F52" s="248" t="s">
        <v>319</v>
      </c>
      <c r="G52" s="572">
        <v>821080</v>
      </c>
      <c r="H52" s="222"/>
    </row>
    <row r="53" spans="1:8" ht="20.100000000000001" customHeight="1">
      <c r="A53" s="629" t="s">
        <v>320</v>
      </c>
      <c r="B53" s="232"/>
      <c r="C53" s="232"/>
      <c r="D53" s="232"/>
      <c r="E53" s="232"/>
      <c r="F53" s="247" t="s">
        <v>321</v>
      </c>
      <c r="G53" s="572">
        <v>20845</v>
      </c>
      <c r="H53" s="222"/>
    </row>
    <row r="54" spans="1:8" ht="20.100000000000001" customHeight="1">
      <c r="A54" s="629" t="s">
        <v>322</v>
      </c>
      <c r="B54" s="232"/>
      <c r="C54" s="232"/>
      <c r="D54" s="232"/>
      <c r="E54" s="232"/>
      <c r="F54" s="248" t="s">
        <v>323</v>
      </c>
      <c r="G54" s="572">
        <v>91</v>
      </c>
      <c r="H54" s="222"/>
    </row>
    <row r="55" spans="1:8" ht="20.100000000000001" customHeight="1">
      <c r="A55" s="629" t="s">
        <v>324</v>
      </c>
      <c r="B55" s="232"/>
      <c r="C55" s="232"/>
      <c r="D55" s="232"/>
      <c r="E55" s="232"/>
      <c r="F55" s="247" t="s">
        <v>325</v>
      </c>
      <c r="G55" s="572">
        <v>0</v>
      </c>
      <c r="H55" s="222"/>
    </row>
    <row r="56" spans="1:8" ht="20.100000000000001" customHeight="1">
      <c r="A56" s="629" t="s">
        <v>326</v>
      </c>
      <c r="B56" s="232"/>
      <c r="C56" s="232"/>
      <c r="D56" s="232"/>
      <c r="E56" s="232"/>
      <c r="F56" s="248" t="s">
        <v>327</v>
      </c>
      <c r="G56" s="572">
        <v>166032</v>
      </c>
      <c r="H56" s="222"/>
    </row>
    <row r="57" spans="1:8" ht="20.100000000000001" customHeight="1">
      <c r="A57" s="629" t="s">
        <v>328</v>
      </c>
      <c r="B57" s="232"/>
      <c r="C57" s="232"/>
      <c r="D57" s="232"/>
      <c r="E57" s="232"/>
      <c r="F57" s="248" t="s">
        <v>329</v>
      </c>
      <c r="G57" s="572">
        <v>0</v>
      </c>
      <c r="H57" s="222"/>
    </row>
    <row r="58" spans="1:8" ht="20.100000000000001" customHeight="1">
      <c r="A58" s="629" t="s">
        <v>330</v>
      </c>
      <c r="B58" s="232"/>
      <c r="C58" s="232"/>
      <c r="D58" s="232"/>
      <c r="E58" s="232"/>
      <c r="F58" s="249" t="s">
        <v>331</v>
      </c>
      <c r="G58" s="572">
        <v>4055807</v>
      </c>
      <c r="H58" s="222"/>
    </row>
    <row r="59" spans="1:8" ht="20.100000000000001" customHeight="1">
      <c r="A59" s="629" t="s">
        <v>332</v>
      </c>
      <c r="B59" s="232"/>
      <c r="C59" s="232"/>
      <c r="D59" s="232"/>
      <c r="E59" s="232"/>
      <c r="F59" s="248" t="s">
        <v>333</v>
      </c>
      <c r="G59" s="572">
        <v>620346</v>
      </c>
      <c r="H59" s="222"/>
    </row>
    <row r="60" spans="1:8" ht="20.100000000000001" customHeight="1">
      <c r="A60" s="629" t="s">
        <v>334</v>
      </c>
      <c r="B60" s="232"/>
      <c r="C60" s="232"/>
      <c r="D60" s="232"/>
      <c r="E60" s="232"/>
      <c r="F60" s="247" t="s">
        <v>335</v>
      </c>
      <c r="G60" s="572">
        <v>0</v>
      </c>
      <c r="H60" s="222"/>
    </row>
    <row r="61" spans="1:8" ht="20.100000000000001" customHeight="1">
      <c r="A61" s="629" t="s">
        <v>336</v>
      </c>
      <c r="B61" s="232"/>
      <c r="C61" s="232"/>
      <c r="D61" s="232"/>
      <c r="E61" s="232"/>
      <c r="F61" s="247" t="s">
        <v>337</v>
      </c>
      <c r="G61" s="572">
        <v>0</v>
      </c>
      <c r="H61" s="222"/>
    </row>
    <row r="62" spans="1:8" ht="20.100000000000001" customHeight="1">
      <c r="A62" s="628"/>
      <c r="B62" s="229"/>
      <c r="C62" s="229"/>
      <c r="D62" s="229"/>
      <c r="E62" s="229"/>
      <c r="F62" s="235"/>
      <c r="G62" s="902"/>
      <c r="H62" s="222"/>
    </row>
    <row r="63" spans="1:8" ht="20.100000000000001" customHeight="1">
      <c r="A63" s="630" t="s">
        <v>338</v>
      </c>
      <c r="B63" s="229"/>
      <c r="C63" s="229"/>
      <c r="D63" s="229"/>
      <c r="E63" s="229"/>
      <c r="F63" s="235"/>
      <c r="G63" s="903">
        <f>SUM(G44:G61)</f>
        <v>110682829.40000001</v>
      </c>
      <c r="H63" s="222"/>
    </row>
    <row r="64" spans="1:8" ht="20.100000000000001" customHeight="1">
      <c r="A64" s="628"/>
      <c r="B64" s="229"/>
      <c r="C64" s="229"/>
      <c r="D64" s="229"/>
      <c r="E64" s="229"/>
      <c r="F64" s="235"/>
      <c r="G64" s="241"/>
      <c r="H64" s="222"/>
    </row>
    <row r="65" spans="1:8" ht="20.100000000000001" customHeight="1">
      <c r="A65" s="1064" t="s">
        <v>339</v>
      </c>
      <c r="B65" s="1065"/>
      <c r="C65" s="1065"/>
      <c r="D65" s="1065"/>
      <c r="E65" s="1065"/>
      <c r="F65" s="1066"/>
      <c r="G65" s="904"/>
      <c r="H65" s="222"/>
    </row>
    <row r="66" spans="1:8" ht="20.100000000000001" customHeight="1">
      <c r="A66" s="628"/>
      <c r="B66" s="229"/>
      <c r="C66" s="229"/>
      <c r="D66" s="229"/>
      <c r="E66" s="229"/>
      <c r="F66" s="235"/>
      <c r="G66" s="241"/>
      <c r="H66" s="222"/>
    </row>
    <row r="67" spans="1:8" ht="20.100000000000001" customHeight="1">
      <c r="A67" s="628" t="s">
        <v>340</v>
      </c>
      <c r="B67" s="229"/>
      <c r="C67" s="229"/>
      <c r="D67" s="229"/>
      <c r="E67" s="229"/>
      <c r="F67" s="235" t="s">
        <v>341</v>
      </c>
      <c r="G67" s="572">
        <v>0</v>
      </c>
      <c r="H67" s="222"/>
    </row>
    <row r="68" spans="1:8" ht="20.100000000000001" customHeight="1">
      <c r="A68" s="628" t="s">
        <v>342</v>
      </c>
      <c r="B68" s="229"/>
      <c r="C68" s="229"/>
      <c r="D68" s="229"/>
      <c r="E68" s="229"/>
      <c r="F68" s="235" t="s">
        <v>343</v>
      </c>
      <c r="G68" s="572">
        <v>6868539.0699999994</v>
      </c>
      <c r="H68" s="222"/>
    </row>
    <row r="69" spans="1:8" ht="20.100000000000001" customHeight="1">
      <c r="A69" s="628" t="s">
        <v>344</v>
      </c>
      <c r="B69" s="229"/>
      <c r="C69" s="229"/>
      <c r="D69" s="229"/>
      <c r="E69" s="229"/>
      <c r="F69" s="235" t="s">
        <v>345</v>
      </c>
      <c r="G69" s="572">
        <v>0</v>
      </c>
      <c r="H69" s="222"/>
    </row>
    <row r="70" spans="1:8" ht="20.100000000000001" customHeight="1">
      <c r="A70" s="628"/>
      <c r="B70" s="229"/>
      <c r="C70" s="229"/>
      <c r="D70" s="229"/>
      <c r="E70" s="229"/>
      <c r="F70" s="235"/>
      <c r="G70" s="902"/>
      <c r="H70" s="222"/>
    </row>
    <row r="71" spans="1:8" ht="20.100000000000001" customHeight="1">
      <c r="A71" s="630" t="s">
        <v>346</v>
      </c>
      <c r="B71" s="229"/>
      <c r="C71" s="229"/>
      <c r="D71" s="229"/>
      <c r="E71" s="229"/>
      <c r="F71" s="235"/>
      <c r="G71" s="279">
        <f>SUM(G67:G69)</f>
        <v>6868539.0699999994</v>
      </c>
      <c r="H71" s="222"/>
    </row>
    <row r="72" spans="1:8" ht="20.100000000000001" customHeight="1">
      <c r="A72" s="905"/>
      <c r="B72" s="711"/>
      <c r="C72" s="711"/>
      <c r="D72" s="711"/>
      <c r="E72" s="711"/>
      <c r="F72" s="712"/>
      <c r="G72" s="906"/>
      <c r="H72" s="222"/>
    </row>
    <row r="73" spans="1:8" ht="20.100000000000001" customHeight="1">
      <c r="A73" s="1064" t="s">
        <v>347</v>
      </c>
      <c r="B73" s="1065"/>
      <c r="C73" s="1065"/>
      <c r="D73" s="1065"/>
      <c r="E73" s="1065"/>
      <c r="F73" s="1066"/>
      <c r="G73" s="784"/>
      <c r="H73" s="222"/>
    </row>
    <row r="74" spans="1:8" ht="20.100000000000001" customHeight="1">
      <c r="A74" s="628"/>
      <c r="B74" s="229"/>
      <c r="C74" s="229"/>
      <c r="D74" s="229"/>
      <c r="E74" s="229"/>
      <c r="F74" s="235"/>
      <c r="G74" s="250"/>
      <c r="H74" s="222"/>
    </row>
    <row r="75" spans="1:8" ht="20.100000000000001" customHeight="1">
      <c r="A75" s="628" t="s">
        <v>348</v>
      </c>
      <c r="B75" s="229"/>
      <c r="C75" s="229"/>
      <c r="D75" s="229"/>
      <c r="E75" s="229"/>
      <c r="F75" s="235" t="s">
        <v>349</v>
      </c>
      <c r="G75" s="654">
        <f>'CHECK SHEET'!D102</f>
        <v>83933611</v>
      </c>
      <c r="H75" s="222"/>
    </row>
    <row r="76" spans="1:8" ht="20.100000000000001" customHeight="1">
      <c r="A76" s="628" t="s">
        <v>350</v>
      </c>
      <c r="B76" s="229"/>
      <c r="C76" s="229"/>
      <c r="D76" s="229"/>
      <c r="E76" s="229"/>
      <c r="F76" s="238">
        <v>42130</v>
      </c>
      <c r="G76" s="655">
        <v>0</v>
      </c>
      <c r="H76" s="222"/>
    </row>
    <row r="77" spans="1:8" ht="20.100000000000001" customHeight="1">
      <c r="A77" s="631" t="s">
        <v>351</v>
      </c>
      <c r="B77" s="632"/>
      <c r="C77" s="632"/>
      <c r="D77" s="632"/>
      <c r="E77" s="632"/>
      <c r="F77" s="251" t="s">
        <v>352</v>
      </c>
      <c r="G77" s="656">
        <v>3533568</v>
      </c>
      <c r="H77" s="222"/>
    </row>
    <row r="78" spans="1:8" ht="20.100000000000001" customHeight="1">
      <c r="A78" s="631" t="s">
        <v>353</v>
      </c>
      <c r="B78" s="632"/>
      <c r="C78" s="632"/>
      <c r="D78" s="632"/>
      <c r="E78" s="632"/>
      <c r="F78" s="251" t="s">
        <v>354</v>
      </c>
      <c r="G78" s="655">
        <v>0</v>
      </c>
      <c r="H78" s="222"/>
    </row>
    <row r="79" spans="1:8" ht="20.100000000000001" customHeight="1">
      <c r="A79" s="628" t="s">
        <v>355</v>
      </c>
      <c r="B79" s="229"/>
      <c r="C79" s="229"/>
      <c r="D79" s="229"/>
      <c r="E79" s="229"/>
      <c r="F79" s="235" t="s">
        <v>356</v>
      </c>
      <c r="G79" s="655">
        <v>0</v>
      </c>
      <c r="H79" s="222"/>
    </row>
    <row r="80" spans="1:8" ht="20.100000000000001" customHeight="1">
      <c r="A80" s="628" t="s">
        <v>357</v>
      </c>
      <c r="B80" s="229"/>
      <c r="C80" s="229"/>
      <c r="D80" s="229"/>
      <c r="E80" s="229"/>
      <c r="F80" s="235" t="s">
        <v>358</v>
      </c>
      <c r="G80" s="655">
        <v>545000</v>
      </c>
      <c r="H80" s="222"/>
    </row>
    <row r="81" spans="1:10" ht="20.100000000000001" customHeight="1">
      <c r="A81" s="628" t="s">
        <v>359</v>
      </c>
      <c r="B81" s="229"/>
      <c r="C81" s="229"/>
      <c r="D81" s="229"/>
      <c r="E81" s="229"/>
      <c r="F81" s="235" t="s">
        <v>360</v>
      </c>
      <c r="G81" s="654">
        <f>'CHECK SHEET'!D104</f>
        <v>11267752</v>
      </c>
      <c r="H81" s="222"/>
    </row>
    <row r="82" spans="1:10" ht="20.100000000000001" customHeight="1">
      <c r="A82" s="633" t="s">
        <v>361</v>
      </c>
      <c r="B82" s="634"/>
      <c r="C82" s="634"/>
      <c r="D82" s="634"/>
      <c r="E82" s="634"/>
      <c r="F82" s="250" t="s">
        <v>362</v>
      </c>
      <c r="G82" s="655">
        <v>422353.31</v>
      </c>
      <c r="H82" s="222"/>
    </row>
    <row r="83" spans="1:10" ht="20.100000000000001" customHeight="1">
      <c r="A83" s="628" t="s">
        <v>363</v>
      </c>
      <c r="B83" s="229"/>
      <c r="C83" s="229"/>
      <c r="D83" s="229"/>
      <c r="E83" s="229"/>
      <c r="F83" s="235" t="s">
        <v>364</v>
      </c>
      <c r="G83" s="655">
        <v>0</v>
      </c>
      <c r="H83" s="222"/>
    </row>
    <row r="84" spans="1:10" ht="20.100000000000001" customHeight="1">
      <c r="A84" s="628"/>
      <c r="B84" s="229"/>
      <c r="C84" s="229"/>
      <c r="D84" s="229"/>
      <c r="E84" s="229"/>
      <c r="F84" s="235"/>
      <c r="G84" s="907"/>
      <c r="H84" s="222"/>
    </row>
    <row r="85" spans="1:10" ht="20.100000000000001" customHeight="1">
      <c r="A85" s="630" t="s">
        <v>365</v>
      </c>
      <c r="B85" s="229"/>
      <c r="C85" s="229"/>
      <c r="D85" s="229"/>
      <c r="E85" s="229"/>
      <c r="F85" s="235"/>
      <c r="G85" s="280">
        <f>SUM(G75:G83)</f>
        <v>99702284.310000002</v>
      </c>
      <c r="H85" s="222"/>
    </row>
    <row r="86" spans="1:10" ht="20.100000000000001" customHeight="1">
      <c r="A86" s="905"/>
      <c r="B86" s="711"/>
      <c r="C86" s="711"/>
      <c r="D86" s="711"/>
      <c r="E86" s="711"/>
      <c r="F86" s="712"/>
      <c r="G86" s="906"/>
      <c r="H86" s="222"/>
    </row>
    <row r="87" spans="1:10" ht="20.100000000000001" customHeight="1">
      <c r="A87" s="1067" t="s">
        <v>366</v>
      </c>
      <c r="B87" s="1068"/>
      <c r="C87" s="1068"/>
      <c r="D87" s="1068"/>
      <c r="E87" s="1068"/>
      <c r="F87" s="1069"/>
      <c r="G87" s="784"/>
      <c r="H87" s="222"/>
    </row>
    <row r="88" spans="1:10" ht="20.100000000000001" customHeight="1">
      <c r="A88" s="628"/>
      <c r="B88" s="229"/>
      <c r="C88" s="229"/>
      <c r="D88" s="229"/>
      <c r="E88" s="229"/>
      <c r="F88" s="235"/>
      <c r="G88" s="250"/>
      <c r="H88" s="222"/>
    </row>
    <row r="89" spans="1:10" ht="20.100000000000001" customHeight="1">
      <c r="A89" s="628" t="s">
        <v>367</v>
      </c>
      <c r="B89" s="229"/>
      <c r="C89" s="229"/>
      <c r="D89" s="229"/>
      <c r="E89" s="229"/>
      <c r="F89" s="235" t="s">
        <v>368</v>
      </c>
      <c r="G89" s="575">
        <v>0</v>
      </c>
      <c r="H89" s="222"/>
    </row>
    <row r="90" spans="1:10" ht="20.100000000000001" customHeight="1">
      <c r="A90" s="629" t="s">
        <v>369</v>
      </c>
      <c r="B90" s="232"/>
      <c r="C90" s="232"/>
      <c r="D90" s="232"/>
      <c r="E90" s="232"/>
      <c r="F90" s="1243">
        <v>43518</v>
      </c>
      <c r="G90" s="657">
        <v>0</v>
      </c>
      <c r="H90" s="222"/>
      <c r="J90" s="252"/>
    </row>
    <row r="91" spans="1:10" ht="20.100000000000001" customHeight="1">
      <c r="A91" s="629" t="s">
        <v>370</v>
      </c>
      <c r="B91" s="232"/>
      <c r="C91" s="232"/>
      <c r="D91" s="232"/>
      <c r="E91" s="232"/>
      <c r="F91" s="1243">
        <v>43519</v>
      </c>
      <c r="G91" s="657">
        <v>0</v>
      </c>
      <c r="H91" s="222"/>
    </row>
    <row r="92" spans="1:10" ht="20.100000000000001" customHeight="1">
      <c r="A92" s="629" t="s">
        <v>7</v>
      </c>
      <c r="B92" s="232"/>
      <c r="C92" s="232"/>
      <c r="D92" s="232"/>
      <c r="E92" s="232"/>
      <c r="F92" s="255">
        <v>43521</v>
      </c>
      <c r="G92" s="657">
        <v>0</v>
      </c>
      <c r="H92" s="222"/>
    </row>
    <row r="93" spans="1:10" ht="20.100000000000001" customHeight="1">
      <c r="A93" s="629" t="s">
        <v>8</v>
      </c>
      <c r="B93" s="232"/>
      <c r="C93" s="232"/>
      <c r="D93" s="232"/>
      <c r="E93" s="232"/>
      <c r="F93" s="255">
        <v>43526</v>
      </c>
      <c r="G93" s="657">
        <v>0</v>
      </c>
      <c r="H93" s="222"/>
    </row>
    <row r="94" spans="1:10" ht="20.100000000000001" customHeight="1">
      <c r="A94" s="628" t="s">
        <v>371</v>
      </c>
      <c r="B94" s="229"/>
      <c r="C94" s="229"/>
      <c r="D94" s="229"/>
      <c r="E94" s="229"/>
      <c r="F94" s="235" t="s">
        <v>372</v>
      </c>
      <c r="G94" s="572">
        <v>235369.46</v>
      </c>
      <c r="H94" s="222"/>
    </row>
    <row r="95" spans="1:10" ht="20.100000000000001" customHeight="1">
      <c r="A95" s="755"/>
      <c r="B95" s="713"/>
      <c r="C95" s="713"/>
      <c r="D95" s="713"/>
      <c r="E95" s="713"/>
      <c r="F95" s="730"/>
      <c r="G95" s="907"/>
      <c r="H95" s="222"/>
    </row>
    <row r="96" spans="1:10" ht="20.100000000000001" customHeight="1">
      <c r="A96" s="630" t="s">
        <v>373</v>
      </c>
      <c r="B96" s="229"/>
      <c r="C96" s="229"/>
      <c r="D96" s="229"/>
      <c r="E96" s="229"/>
      <c r="F96" s="253"/>
      <c r="G96" s="908">
        <f>SUM(G89:G94)</f>
        <v>235369.46</v>
      </c>
      <c r="H96" s="222"/>
    </row>
    <row r="97" spans="1:8" ht="20.100000000000001" customHeight="1">
      <c r="A97" s="628"/>
      <c r="B97" s="229"/>
      <c r="C97" s="229"/>
      <c r="D97" s="229"/>
      <c r="E97" s="229"/>
      <c r="F97" s="235"/>
      <c r="G97" s="254"/>
      <c r="H97" s="222"/>
    </row>
    <row r="98" spans="1:8" ht="20.100000000000001" customHeight="1">
      <c r="A98" s="1070" t="s">
        <v>374</v>
      </c>
      <c r="B98" s="1071"/>
      <c r="C98" s="1071"/>
      <c r="D98" s="1071"/>
      <c r="E98" s="1071"/>
      <c r="F98" s="1072"/>
      <c r="G98" s="909"/>
      <c r="H98" s="222"/>
    </row>
    <row r="99" spans="1:8" ht="20.100000000000001" customHeight="1">
      <c r="A99" s="628"/>
      <c r="B99" s="229"/>
      <c r="C99" s="229"/>
      <c r="D99" s="229"/>
      <c r="E99" s="229"/>
      <c r="F99" s="235"/>
      <c r="G99" s="254"/>
      <c r="H99" s="222"/>
    </row>
    <row r="100" spans="1:8" ht="20.100000000000001" customHeight="1">
      <c r="A100" s="628" t="s">
        <v>375</v>
      </c>
      <c r="B100" s="229"/>
      <c r="C100" s="229"/>
      <c r="D100" s="229"/>
      <c r="E100" s="229"/>
      <c r="F100" s="235" t="s">
        <v>376</v>
      </c>
      <c r="G100" s="575">
        <v>0</v>
      </c>
      <c r="H100" s="222"/>
    </row>
    <row r="101" spans="1:8" ht="20.100000000000001" customHeight="1">
      <c r="A101" s="628" t="s">
        <v>377</v>
      </c>
      <c r="B101" s="229"/>
      <c r="C101" s="229"/>
      <c r="D101" s="229"/>
      <c r="E101" s="229"/>
      <c r="F101" s="235" t="s">
        <v>378</v>
      </c>
      <c r="G101" s="573">
        <v>0</v>
      </c>
      <c r="H101" s="222"/>
    </row>
    <row r="102" spans="1:8" ht="20.100000000000001" customHeight="1">
      <c r="A102" s="629" t="s">
        <v>379</v>
      </c>
      <c r="B102" s="232"/>
      <c r="C102" s="232"/>
      <c r="D102" s="232"/>
      <c r="E102" s="232"/>
      <c r="F102" s="255">
        <v>44400</v>
      </c>
      <c r="G102" s="574">
        <v>1045724</v>
      </c>
      <c r="H102" s="222"/>
    </row>
    <row r="103" spans="1:8" ht="20.100000000000001" customHeight="1">
      <c r="A103" s="628" t="s">
        <v>380</v>
      </c>
      <c r="B103" s="229"/>
      <c r="C103" s="229"/>
      <c r="D103" s="229"/>
      <c r="E103" s="229"/>
      <c r="F103" s="235" t="s">
        <v>381</v>
      </c>
      <c r="G103" s="573">
        <v>552072</v>
      </c>
      <c r="H103" s="222"/>
    </row>
    <row r="104" spans="1:8" ht="20.100000000000001" customHeight="1">
      <c r="A104" s="628"/>
      <c r="B104" s="229"/>
      <c r="C104" s="229"/>
      <c r="D104" s="229"/>
      <c r="E104" s="229"/>
      <c r="F104" s="235"/>
      <c r="G104" s="910"/>
      <c r="H104" s="222"/>
    </row>
    <row r="105" spans="1:8" ht="20.100000000000001" customHeight="1">
      <c r="A105" s="630" t="s">
        <v>382</v>
      </c>
      <c r="B105" s="229"/>
      <c r="C105" s="229"/>
      <c r="D105" s="229"/>
      <c r="E105" s="229"/>
      <c r="F105" s="235"/>
      <c r="G105" s="908">
        <f>SUM(G100:G103)</f>
        <v>1597796</v>
      </c>
      <c r="H105" s="222"/>
    </row>
    <row r="106" spans="1:8" ht="20.100000000000001" customHeight="1">
      <c r="A106" s="628"/>
      <c r="B106" s="229"/>
      <c r="C106" s="229"/>
      <c r="D106" s="229"/>
      <c r="E106" s="229"/>
      <c r="F106" s="235"/>
      <c r="G106" s="254"/>
      <c r="H106" s="222"/>
    </row>
    <row r="107" spans="1:8" ht="20.100000000000001" customHeight="1">
      <c r="A107" s="1064" t="s">
        <v>383</v>
      </c>
      <c r="B107" s="1065"/>
      <c r="C107" s="1065"/>
      <c r="D107" s="1065"/>
      <c r="E107" s="1065"/>
      <c r="F107" s="1066"/>
      <c r="G107" s="911"/>
      <c r="H107" s="222"/>
    </row>
    <row r="108" spans="1:8" ht="20.100000000000001" customHeight="1">
      <c r="A108" s="628"/>
      <c r="B108" s="229"/>
      <c r="C108" s="229"/>
      <c r="D108" s="229"/>
      <c r="E108" s="229"/>
      <c r="F108" s="235"/>
      <c r="G108" s="254"/>
      <c r="H108" s="222"/>
    </row>
    <row r="109" spans="1:8" ht="20.100000000000001" customHeight="1">
      <c r="A109" s="628" t="s">
        <v>384</v>
      </c>
      <c r="B109" s="229"/>
      <c r="C109" s="229"/>
      <c r="D109" s="229"/>
      <c r="E109" s="229"/>
      <c r="F109" s="235" t="s">
        <v>385</v>
      </c>
      <c r="G109" s="575">
        <v>0</v>
      </c>
      <c r="H109" s="222"/>
    </row>
    <row r="110" spans="1:8" ht="20.100000000000001" customHeight="1">
      <c r="A110" s="628" t="s">
        <v>386</v>
      </c>
      <c r="B110" s="229"/>
      <c r="C110" s="229"/>
      <c r="D110" s="229"/>
      <c r="E110" s="229"/>
      <c r="F110" s="235" t="s">
        <v>387</v>
      </c>
      <c r="G110" s="573">
        <v>384430</v>
      </c>
      <c r="H110" s="222"/>
    </row>
    <row r="111" spans="1:8" ht="20.100000000000001" customHeight="1">
      <c r="A111" s="628" t="s">
        <v>388</v>
      </c>
      <c r="B111" s="229"/>
      <c r="C111" s="229"/>
      <c r="D111" s="229"/>
      <c r="E111" s="229"/>
      <c r="F111" s="235" t="s">
        <v>389</v>
      </c>
      <c r="G111" s="573">
        <v>206860</v>
      </c>
      <c r="H111" s="222"/>
    </row>
    <row r="112" spans="1:8" ht="20.100000000000001" customHeight="1">
      <c r="A112" s="628" t="s">
        <v>390</v>
      </c>
      <c r="B112" s="229"/>
      <c r="C112" s="229"/>
      <c r="D112" s="229"/>
      <c r="E112" s="229"/>
      <c r="F112" s="235" t="s">
        <v>391</v>
      </c>
      <c r="G112" s="573">
        <v>0</v>
      </c>
      <c r="H112" s="222"/>
    </row>
    <row r="113" spans="1:8" ht="20.100000000000001" customHeight="1">
      <c r="A113" s="628" t="s">
        <v>392</v>
      </c>
      <c r="B113" s="229"/>
      <c r="C113" s="229"/>
      <c r="D113" s="229"/>
      <c r="E113" s="229"/>
      <c r="F113" s="235" t="s">
        <v>393</v>
      </c>
      <c r="G113" s="573">
        <v>16669</v>
      </c>
      <c r="H113" s="222"/>
    </row>
    <row r="114" spans="1:8" ht="20.100000000000001" customHeight="1">
      <c r="A114" s="628"/>
      <c r="B114" s="229"/>
      <c r="C114" s="229"/>
      <c r="D114" s="229"/>
      <c r="E114" s="229"/>
      <c r="F114" s="235"/>
      <c r="G114" s="910"/>
      <c r="H114" s="222"/>
    </row>
    <row r="115" spans="1:8" ht="20.100000000000001" customHeight="1">
      <c r="A115" s="912" t="s">
        <v>394</v>
      </c>
      <c r="B115" s="913"/>
      <c r="C115" s="913"/>
      <c r="D115" s="913"/>
      <c r="E115" s="913"/>
      <c r="F115" s="914"/>
      <c r="G115" s="908">
        <f>SUM(G109:G113)</f>
        <v>607959</v>
      </c>
      <c r="H115" s="222"/>
    </row>
    <row r="116" spans="1:8" ht="20.100000000000001" customHeight="1">
      <c r="A116" s="628"/>
      <c r="B116" s="229"/>
      <c r="C116" s="229"/>
      <c r="D116" s="229"/>
      <c r="E116" s="229"/>
      <c r="F116" s="635"/>
      <c r="G116" s="636"/>
      <c r="H116" s="222"/>
    </row>
    <row r="117" spans="1:8" ht="20.100000000000001" customHeight="1">
      <c r="A117" s="915" t="s">
        <v>395</v>
      </c>
      <c r="B117" s="714"/>
      <c r="C117" s="714"/>
      <c r="D117" s="714"/>
      <c r="E117" s="714"/>
      <c r="F117" s="715" t="s">
        <v>396</v>
      </c>
      <c r="G117" s="916">
        <v>0</v>
      </c>
      <c r="H117" s="222"/>
    </row>
    <row r="118" spans="1:8" ht="20.100000000000001" customHeight="1">
      <c r="A118" s="637"/>
      <c r="B118" s="222"/>
      <c r="C118" s="222"/>
      <c r="D118" s="222"/>
      <c r="E118" s="222"/>
      <c r="F118" s="256"/>
      <c r="G118" s="257"/>
      <c r="H118" s="222"/>
    </row>
    <row r="119" spans="1:8" ht="20.100000000000001" customHeight="1">
      <c r="A119" s="630" t="s">
        <v>397</v>
      </c>
      <c r="B119" s="222"/>
      <c r="C119" s="229"/>
      <c r="D119" s="229"/>
      <c r="E119" s="222"/>
      <c r="F119" s="256"/>
      <c r="G119" s="908">
        <f>G117</f>
        <v>0</v>
      </c>
      <c r="H119" s="222"/>
    </row>
    <row r="120" spans="1:8" ht="20.100000000000001" customHeight="1">
      <c r="A120" s="637"/>
      <c r="B120" s="222"/>
      <c r="C120" s="222"/>
      <c r="D120" s="222"/>
      <c r="E120" s="222"/>
      <c r="F120" s="256"/>
      <c r="G120" s="254"/>
      <c r="H120" s="222"/>
    </row>
    <row r="121" spans="1:8" ht="20.100000000000001" customHeight="1">
      <c r="A121" s="1070" t="s">
        <v>398</v>
      </c>
      <c r="B121" s="1071"/>
      <c r="C121" s="1071"/>
      <c r="D121" s="1071"/>
      <c r="E121" s="1071"/>
      <c r="F121" s="1072"/>
      <c r="G121" s="909"/>
      <c r="H121" s="222"/>
    </row>
    <row r="122" spans="1:8" ht="20.100000000000001" customHeight="1">
      <c r="A122" s="628"/>
      <c r="B122" s="229"/>
      <c r="C122" s="229"/>
      <c r="D122" s="229"/>
      <c r="E122" s="229"/>
      <c r="F122" s="235"/>
      <c r="G122" s="254"/>
      <c r="H122" s="222"/>
    </row>
    <row r="123" spans="1:8" ht="20.100000000000001" customHeight="1">
      <c r="A123" s="628" t="s">
        <v>399</v>
      </c>
      <c r="B123" s="229"/>
      <c r="C123" s="229"/>
      <c r="D123" s="229"/>
      <c r="E123" s="229"/>
      <c r="F123" s="235" t="s">
        <v>400</v>
      </c>
      <c r="G123" s="575">
        <v>91560</v>
      </c>
      <c r="H123" s="222"/>
    </row>
    <row r="124" spans="1:8" ht="20.100000000000001" customHeight="1">
      <c r="A124" s="628" t="s">
        <v>401</v>
      </c>
      <c r="B124" s="229"/>
      <c r="C124" s="229"/>
      <c r="D124" s="229"/>
      <c r="E124" s="229"/>
      <c r="F124" s="235" t="s">
        <v>402</v>
      </c>
      <c r="G124" s="573">
        <v>0</v>
      </c>
      <c r="H124" s="222"/>
    </row>
    <row r="125" spans="1:8" ht="20.100000000000001" customHeight="1">
      <c r="A125" s="628" t="s">
        <v>403</v>
      </c>
      <c r="B125" s="229"/>
      <c r="C125" s="229"/>
      <c r="D125" s="229"/>
      <c r="E125" s="229"/>
      <c r="F125" s="235" t="s">
        <v>404</v>
      </c>
      <c r="G125" s="573">
        <v>8880</v>
      </c>
      <c r="H125" s="222"/>
    </row>
    <row r="126" spans="1:8" ht="20.100000000000001" customHeight="1">
      <c r="A126" s="628" t="s">
        <v>405</v>
      </c>
      <c r="B126" s="229"/>
      <c r="C126" s="229"/>
      <c r="D126" s="229"/>
      <c r="E126" s="229"/>
      <c r="F126" s="235" t="s">
        <v>406</v>
      </c>
      <c r="G126" s="573">
        <v>127597</v>
      </c>
      <c r="H126" s="222"/>
    </row>
    <row r="127" spans="1:8" ht="20.100000000000001" customHeight="1">
      <c r="A127" s="628"/>
      <c r="B127" s="229"/>
      <c r="C127" s="229"/>
      <c r="D127" s="229"/>
      <c r="E127" s="229"/>
      <c r="F127" s="235"/>
      <c r="G127" s="910"/>
      <c r="H127" s="222"/>
    </row>
    <row r="128" spans="1:8" ht="20.100000000000001" customHeight="1">
      <c r="A128" s="630" t="s">
        <v>407</v>
      </c>
      <c r="B128" s="229"/>
      <c r="C128" s="229"/>
      <c r="D128" s="229"/>
      <c r="E128" s="229"/>
      <c r="F128" s="235"/>
      <c r="G128" s="908">
        <f>SUM(G123:G126)</f>
        <v>228037</v>
      </c>
      <c r="H128" s="222"/>
    </row>
    <row r="129" spans="1:8" ht="20.100000000000001" customHeight="1">
      <c r="A129" s="628"/>
      <c r="B129" s="229"/>
      <c r="C129" s="229"/>
      <c r="D129" s="229"/>
      <c r="E129" s="229"/>
      <c r="F129" s="235"/>
      <c r="G129" s="254"/>
      <c r="H129" s="222"/>
    </row>
    <row r="130" spans="1:8" ht="20.100000000000001" customHeight="1">
      <c r="A130" s="1064" t="s">
        <v>408</v>
      </c>
      <c r="B130" s="1065"/>
      <c r="C130" s="1065"/>
      <c r="D130" s="1065"/>
      <c r="E130" s="1065"/>
      <c r="F130" s="1066"/>
      <c r="G130" s="911"/>
      <c r="H130" s="222"/>
    </row>
    <row r="131" spans="1:8" ht="20.100000000000001" customHeight="1">
      <c r="A131" s="628"/>
      <c r="B131" s="229"/>
      <c r="C131" s="229"/>
      <c r="D131" s="229"/>
      <c r="E131" s="229"/>
      <c r="F131" s="235"/>
      <c r="G131" s="254"/>
      <c r="H131" s="222"/>
    </row>
    <row r="132" spans="1:8" ht="20.100000000000001" customHeight="1">
      <c r="A132" s="628" t="s">
        <v>409</v>
      </c>
      <c r="B132" s="229"/>
      <c r="C132" s="229"/>
      <c r="D132" s="638"/>
      <c r="E132" s="639"/>
      <c r="F132" s="251" t="s">
        <v>410</v>
      </c>
      <c r="G132" s="575">
        <v>0</v>
      </c>
      <c r="H132" s="222"/>
    </row>
    <row r="133" spans="1:8" ht="20.100000000000001" customHeight="1">
      <c r="A133" s="628" t="s">
        <v>411</v>
      </c>
      <c r="B133" s="229"/>
      <c r="C133" s="229"/>
      <c r="D133" s="638"/>
      <c r="E133" s="639"/>
      <c r="F133" s="251" t="s">
        <v>412</v>
      </c>
      <c r="G133" s="573">
        <v>2999999.73</v>
      </c>
      <c r="H133" s="222"/>
    </row>
    <row r="134" spans="1:8" ht="20.100000000000001" customHeight="1">
      <c r="A134" s="629" t="s">
        <v>413</v>
      </c>
      <c r="B134" s="232"/>
      <c r="C134" s="232"/>
      <c r="D134" s="640"/>
      <c r="E134" s="246"/>
      <c r="F134" s="258">
        <v>49230</v>
      </c>
      <c r="G134" s="574">
        <v>0</v>
      </c>
      <c r="H134" s="222"/>
    </row>
    <row r="135" spans="1:8" ht="20.100000000000001" customHeight="1">
      <c r="A135" s="629" t="s">
        <v>414</v>
      </c>
      <c r="B135" s="232"/>
      <c r="C135" s="232"/>
      <c r="D135" s="640"/>
      <c r="E135" s="246"/>
      <c r="F135" s="258">
        <v>49240</v>
      </c>
      <c r="G135" s="573">
        <v>0</v>
      </c>
      <c r="H135" s="222"/>
    </row>
    <row r="136" spans="1:8" ht="20.100000000000001" customHeight="1">
      <c r="A136" s="628" t="s">
        <v>415</v>
      </c>
      <c r="B136" s="229"/>
      <c r="C136" s="229"/>
      <c r="D136" s="229"/>
      <c r="E136" s="229"/>
      <c r="F136" s="235" t="s">
        <v>416</v>
      </c>
      <c r="G136" s="573">
        <v>4247031</v>
      </c>
      <c r="H136" s="222"/>
    </row>
    <row r="137" spans="1:8" ht="20.100000000000001" customHeight="1">
      <c r="A137" s="628" t="s">
        <v>417</v>
      </c>
      <c r="B137" s="229"/>
      <c r="C137" s="229"/>
      <c r="D137" s="229"/>
      <c r="E137" s="229"/>
      <c r="F137" s="238">
        <v>49520</v>
      </c>
      <c r="G137" s="573">
        <v>0</v>
      </c>
      <c r="H137" s="222"/>
    </row>
    <row r="138" spans="1:8" ht="20.100000000000001" customHeight="1">
      <c r="A138" s="628" t="s">
        <v>418</v>
      </c>
      <c r="B138" s="229"/>
      <c r="C138" s="229"/>
      <c r="D138" s="229"/>
      <c r="E138" s="229"/>
      <c r="F138" s="235" t="s">
        <v>419</v>
      </c>
      <c r="G138" s="573">
        <v>0</v>
      </c>
      <c r="H138" s="222"/>
    </row>
    <row r="139" spans="1:8" ht="20.100000000000001" customHeight="1">
      <c r="A139" s="628" t="s">
        <v>420</v>
      </c>
      <c r="B139" s="229"/>
      <c r="C139" s="229"/>
      <c r="D139" s="229"/>
      <c r="E139" s="229"/>
      <c r="F139" s="235" t="s">
        <v>421</v>
      </c>
      <c r="G139" s="573">
        <v>0</v>
      </c>
      <c r="H139" s="222"/>
    </row>
    <row r="140" spans="1:8" ht="20.100000000000001" customHeight="1">
      <c r="A140" s="628"/>
      <c r="B140" s="229"/>
      <c r="C140" s="229"/>
      <c r="D140" s="229"/>
      <c r="E140" s="229"/>
      <c r="F140" s="235"/>
      <c r="G140" s="910"/>
      <c r="H140" s="222"/>
    </row>
    <row r="141" spans="1:8" ht="20.100000000000001" customHeight="1">
      <c r="A141" s="630" t="s">
        <v>422</v>
      </c>
      <c r="B141" s="229"/>
      <c r="C141" s="229"/>
      <c r="D141" s="229"/>
      <c r="E141" s="229"/>
      <c r="F141" s="235"/>
      <c r="G141" s="908">
        <f>SUM(G132:G139)</f>
        <v>7247030.7300000004</v>
      </c>
      <c r="H141" s="222"/>
    </row>
    <row r="142" spans="1:8" ht="20.100000000000001" customHeight="1">
      <c r="A142" s="628"/>
      <c r="B142" s="229"/>
      <c r="C142" s="229"/>
      <c r="D142" s="229"/>
      <c r="E142" s="229"/>
      <c r="F142" s="235"/>
      <c r="G142" s="254"/>
      <c r="H142" s="222"/>
    </row>
    <row r="143" spans="1:8" ht="20.100000000000001" customHeight="1" thickBot="1">
      <c r="A143" s="660" t="s">
        <v>423</v>
      </c>
      <c r="B143" s="661"/>
      <c r="C143" s="661"/>
      <c r="D143" s="661"/>
      <c r="E143" s="661"/>
      <c r="F143" s="662"/>
      <c r="G143" s="664">
        <f>G63+G71+G85+G96+G105+G115+G119+G128+G141</f>
        <v>227169844.97</v>
      </c>
      <c r="H143" s="222"/>
    </row>
    <row r="144" spans="1:8" ht="20.100000000000001" customHeight="1" thickTop="1">
      <c r="A144" s="905"/>
      <c r="B144" s="711"/>
      <c r="C144" s="711"/>
      <c r="D144" s="711"/>
      <c r="E144" s="711"/>
      <c r="F144" s="785"/>
      <c r="G144" s="786"/>
      <c r="H144" s="222"/>
    </row>
    <row r="145" spans="1:8" ht="20.100000000000001" customHeight="1">
      <c r="A145" s="1064" t="s">
        <v>424</v>
      </c>
      <c r="B145" s="1065"/>
      <c r="C145" s="1065"/>
      <c r="D145" s="1065"/>
      <c r="E145" s="1065"/>
      <c r="F145" s="1066"/>
      <c r="G145" s="917"/>
      <c r="H145" s="222"/>
    </row>
    <row r="146" spans="1:8" ht="20.100000000000001" customHeight="1">
      <c r="A146" s="628"/>
      <c r="B146" s="229"/>
      <c r="C146" s="229"/>
      <c r="D146" s="229"/>
      <c r="E146" s="229"/>
      <c r="F146" s="235"/>
      <c r="G146" s="259"/>
      <c r="H146" s="222"/>
    </row>
    <row r="147" spans="1:8" ht="20.100000000000001" customHeight="1">
      <c r="A147" s="628" t="s">
        <v>425</v>
      </c>
      <c r="B147" s="229"/>
      <c r="C147" s="229"/>
      <c r="D147" s="229"/>
      <c r="E147" s="229"/>
      <c r="F147" s="235" t="s">
        <v>426</v>
      </c>
      <c r="G147" s="576">
        <v>4240185</v>
      </c>
      <c r="H147" s="222"/>
    </row>
    <row r="148" spans="1:8" ht="20.100000000000001" customHeight="1">
      <c r="A148" s="628" t="s">
        <v>427</v>
      </c>
      <c r="B148" s="222"/>
      <c r="C148" s="222"/>
      <c r="D148" s="222"/>
      <c r="E148" s="222"/>
      <c r="F148" s="235" t="s">
        <v>428</v>
      </c>
      <c r="G148" s="577">
        <v>3011569</v>
      </c>
      <c r="H148" s="222"/>
    </row>
    <row r="149" spans="1:8" ht="20.100000000000001" customHeight="1">
      <c r="A149" s="628" t="s">
        <v>429</v>
      </c>
      <c r="B149" s="222"/>
      <c r="C149" s="222"/>
      <c r="D149" s="222"/>
      <c r="E149" s="222"/>
      <c r="F149" s="235" t="s">
        <v>430</v>
      </c>
      <c r="G149" s="577">
        <v>3543049</v>
      </c>
      <c r="H149" s="222"/>
    </row>
    <row r="150" spans="1:8" ht="20.100000000000001" customHeight="1">
      <c r="A150" s="628" t="s">
        <v>431</v>
      </c>
      <c r="B150" s="222"/>
      <c r="C150" s="222"/>
      <c r="D150" s="222"/>
      <c r="E150" s="222"/>
      <c r="F150" s="235" t="s">
        <v>432</v>
      </c>
      <c r="G150" s="577">
        <v>0</v>
      </c>
      <c r="H150" s="222"/>
    </row>
    <row r="151" spans="1:8" ht="20.100000000000001" customHeight="1">
      <c r="A151" s="628" t="s">
        <v>433</v>
      </c>
      <c r="B151" s="222"/>
      <c r="C151" s="222"/>
      <c r="D151" s="222"/>
      <c r="E151" s="222"/>
      <c r="F151" s="235" t="s">
        <v>434</v>
      </c>
      <c r="G151" s="577">
        <v>0</v>
      </c>
      <c r="H151" s="222"/>
    </row>
    <row r="152" spans="1:8" ht="20.100000000000001" customHeight="1">
      <c r="A152" s="628" t="s">
        <v>435</v>
      </c>
      <c r="B152" s="229"/>
      <c r="C152" s="229"/>
      <c r="D152" s="229"/>
      <c r="E152" s="229"/>
      <c r="F152" s="235" t="s">
        <v>436</v>
      </c>
      <c r="G152" s="577">
        <v>49129632</v>
      </c>
      <c r="H152" s="222"/>
    </row>
    <row r="153" spans="1:8" ht="20.100000000000001" customHeight="1">
      <c r="A153" s="628" t="s">
        <v>437</v>
      </c>
      <c r="B153" s="229"/>
      <c r="C153" s="229"/>
      <c r="D153" s="229"/>
      <c r="E153" s="229"/>
      <c r="F153" s="235" t="s">
        <v>438</v>
      </c>
      <c r="G153" s="577">
        <v>5658871</v>
      </c>
      <c r="H153" s="222"/>
    </row>
    <row r="154" spans="1:8" ht="20.100000000000001" customHeight="1">
      <c r="A154" s="628" t="s">
        <v>439</v>
      </c>
      <c r="B154" s="229"/>
      <c r="C154" s="229"/>
      <c r="D154" s="229"/>
      <c r="E154" s="229"/>
      <c r="F154" s="235" t="s">
        <v>440</v>
      </c>
      <c r="G154" s="577">
        <v>29856</v>
      </c>
      <c r="H154" s="222"/>
    </row>
    <row r="155" spans="1:8" ht="20.100000000000001" customHeight="1">
      <c r="A155" s="628" t="s">
        <v>441</v>
      </c>
      <c r="B155" s="229"/>
      <c r="C155" s="229"/>
      <c r="D155" s="229"/>
      <c r="E155" s="229"/>
      <c r="F155" s="235" t="s">
        <v>442</v>
      </c>
      <c r="G155" s="577">
        <v>2562503</v>
      </c>
      <c r="H155" s="222"/>
    </row>
    <row r="156" spans="1:8" ht="20.100000000000001" customHeight="1">
      <c r="A156" s="628" t="s">
        <v>443</v>
      </c>
      <c r="B156" s="229"/>
      <c r="C156" s="229"/>
      <c r="D156" s="229"/>
      <c r="E156" s="229"/>
      <c r="F156" s="235" t="s">
        <v>444</v>
      </c>
      <c r="G156" s="577">
        <v>0</v>
      </c>
      <c r="H156" s="222"/>
    </row>
    <row r="157" spans="1:8" ht="20.100000000000001" customHeight="1">
      <c r="A157" s="628" t="s">
        <v>445</v>
      </c>
      <c r="B157" s="229"/>
      <c r="C157" s="229"/>
      <c r="D157" s="229"/>
      <c r="E157" s="229"/>
      <c r="F157" s="238">
        <v>52500</v>
      </c>
      <c r="G157" s="577">
        <v>1049356</v>
      </c>
      <c r="H157" s="222"/>
    </row>
    <row r="158" spans="1:8" ht="20.100000000000001" customHeight="1">
      <c r="A158" s="628" t="s">
        <v>446</v>
      </c>
      <c r="B158" s="229"/>
      <c r="C158" s="229"/>
      <c r="D158" s="229"/>
      <c r="E158" s="229"/>
      <c r="F158" s="235" t="s">
        <v>447</v>
      </c>
      <c r="G158" s="577">
        <v>0</v>
      </c>
      <c r="H158" s="222"/>
    </row>
    <row r="159" spans="1:8" ht="20.100000000000001" customHeight="1">
      <c r="A159" s="628" t="s">
        <v>448</v>
      </c>
      <c r="B159" s="229"/>
      <c r="C159" s="229"/>
      <c r="D159" s="229"/>
      <c r="E159" s="229"/>
      <c r="F159" s="235" t="s">
        <v>449</v>
      </c>
      <c r="G159" s="577">
        <v>0</v>
      </c>
      <c r="H159" s="222"/>
    </row>
    <row r="160" spans="1:8" ht="20.100000000000001" customHeight="1">
      <c r="A160" s="628" t="s">
        <v>450</v>
      </c>
      <c r="B160" s="229"/>
      <c r="C160" s="229"/>
      <c r="D160" s="229"/>
      <c r="E160" s="229"/>
      <c r="F160" s="235" t="s">
        <v>451</v>
      </c>
      <c r="G160" s="577">
        <v>0</v>
      </c>
      <c r="H160" s="222"/>
    </row>
    <row r="161" spans="1:8" ht="20.100000000000001" customHeight="1">
      <c r="A161" s="628" t="s">
        <v>452</v>
      </c>
      <c r="B161" s="229"/>
      <c r="C161" s="229"/>
      <c r="D161" s="229"/>
      <c r="E161" s="229"/>
      <c r="F161" s="235" t="s">
        <v>453</v>
      </c>
      <c r="G161" s="577">
        <v>0</v>
      </c>
      <c r="H161" s="222"/>
    </row>
    <row r="162" spans="1:8" ht="20.100000000000001" customHeight="1">
      <c r="A162" s="628" t="s">
        <v>454</v>
      </c>
      <c r="B162" s="229"/>
      <c r="C162" s="229"/>
      <c r="D162" s="229"/>
      <c r="E162" s="229"/>
      <c r="F162" s="235" t="s">
        <v>455</v>
      </c>
      <c r="G162" s="577">
        <v>29980170</v>
      </c>
      <c r="H162" s="222"/>
    </row>
    <row r="163" spans="1:8" ht="20.100000000000001" customHeight="1">
      <c r="A163" s="628" t="s">
        <v>456</v>
      </c>
      <c r="B163" s="229"/>
      <c r="C163" s="229"/>
      <c r="D163" s="229"/>
      <c r="E163" s="229"/>
      <c r="F163" s="235" t="s">
        <v>457</v>
      </c>
      <c r="G163" s="577">
        <v>73750</v>
      </c>
      <c r="H163" s="222"/>
    </row>
    <row r="164" spans="1:8" ht="20.100000000000001" customHeight="1">
      <c r="A164" s="628" t="s">
        <v>458</v>
      </c>
      <c r="B164" s="229"/>
      <c r="C164" s="229"/>
      <c r="D164" s="229"/>
      <c r="E164" s="229"/>
      <c r="F164" s="235" t="s">
        <v>459</v>
      </c>
      <c r="G164" s="577">
        <v>0</v>
      </c>
      <c r="H164" s="222"/>
    </row>
    <row r="165" spans="1:8" ht="20.100000000000001" customHeight="1">
      <c r="A165" s="628" t="s">
        <v>460</v>
      </c>
      <c r="B165" s="229"/>
      <c r="C165" s="229"/>
      <c r="D165" s="229"/>
      <c r="E165" s="229"/>
      <c r="F165" s="235" t="s">
        <v>461</v>
      </c>
      <c r="G165" s="577">
        <v>0</v>
      </c>
      <c r="H165" s="222"/>
    </row>
    <row r="166" spans="1:8" ht="20.100000000000001" customHeight="1">
      <c r="A166" s="628" t="s">
        <v>462</v>
      </c>
      <c r="B166" s="229"/>
      <c r="C166" s="229"/>
      <c r="D166" s="229"/>
      <c r="E166" s="229"/>
      <c r="F166" s="235" t="s">
        <v>463</v>
      </c>
      <c r="G166" s="577">
        <v>192412</v>
      </c>
      <c r="H166" s="222"/>
    </row>
    <row r="167" spans="1:8" ht="20.100000000000001" customHeight="1">
      <c r="A167" s="628" t="s">
        <v>464</v>
      </c>
      <c r="B167" s="229"/>
      <c r="C167" s="229"/>
      <c r="D167" s="229"/>
      <c r="E167" s="229"/>
      <c r="F167" s="235" t="s">
        <v>465</v>
      </c>
      <c r="G167" s="577">
        <v>20875146</v>
      </c>
      <c r="H167" s="222"/>
    </row>
    <row r="168" spans="1:8" ht="20.100000000000001" customHeight="1">
      <c r="A168" s="628" t="s">
        <v>466</v>
      </c>
      <c r="B168" s="229"/>
      <c r="C168" s="229"/>
      <c r="D168" s="229"/>
      <c r="E168" s="229"/>
      <c r="F168" s="235" t="s">
        <v>467</v>
      </c>
      <c r="G168" s="577">
        <v>221250</v>
      </c>
      <c r="H168" s="222"/>
    </row>
    <row r="169" spans="1:8" ht="20.100000000000001" customHeight="1">
      <c r="A169" s="628" t="s">
        <v>468</v>
      </c>
      <c r="B169" s="229"/>
      <c r="C169" s="229"/>
      <c r="D169" s="229"/>
      <c r="E169" s="229"/>
      <c r="F169" s="235" t="s">
        <v>469</v>
      </c>
      <c r="G169" s="577">
        <v>3361364</v>
      </c>
      <c r="H169" s="222"/>
    </row>
    <row r="170" spans="1:8" ht="20.100000000000001" customHeight="1">
      <c r="A170" s="628" t="s">
        <v>470</v>
      </c>
      <c r="B170" s="229"/>
      <c r="C170" s="229"/>
      <c r="D170" s="229"/>
      <c r="E170" s="229"/>
      <c r="F170" s="235" t="s">
        <v>471</v>
      </c>
      <c r="G170" s="577">
        <v>0</v>
      </c>
      <c r="H170" s="222"/>
    </row>
    <row r="171" spans="1:8" ht="20.100000000000001" customHeight="1">
      <c r="A171" s="628" t="s">
        <v>472</v>
      </c>
      <c r="B171" s="229"/>
      <c r="C171" s="229"/>
      <c r="D171" s="229"/>
      <c r="E171" s="229"/>
      <c r="F171" s="235" t="s">
        <v>473</v>
      </c>
      <c r="G171" s="577">
        <v>21469486</v>
      </c>
      <c r="H171" s="222"/>
    </row>
    <row r="172" spans="1:8" ht="20.100000000000001" customHeight="1">
      <c r="A172" s="628" t="s">
        <v>474</v>
      </c>
      <c r="B172" s="229"/>
      <c r="C172" s="229"/>
      <c r="D172" s="229"/>
      <c r="E172" s="229"/>
      <c r="F172" s="238">
        <v>56001</v>
      </c>
      <c r="G172" s="577">
        <v>0</v>
      </c>
      <c r="H172" s="222"/>
    </row>
    <row r="173" spans="1:8" ht="20.100000000000001" customHeight="1">
      <c r="A173" s="628" t="s">
        <v>475</v>
      </c>
      <c r="B173" s="229"/>
      <c r="C173" s="229"/>
      <c r="D173" s="229"/>
      <c r="E173" s="229"/>
      <c r="F173" s="238">
        <v>56002</v>
      </c>
      <c r="G173" s="577">
        <v>0</v>
      </c>
      <c r="H173" s="222"/>
    </row>
    <row r="174" spans="1:8" ht="20.100000000000001" customHeight="1">
      <c r="A174" s="628" t="s">
        <v>476</v>
      </c>
      <c r="B174" s="229"/>
      <c r="C174" s="229"/>
      <c r="D174" s="229"/>
      <c r="E174" s="229"/>
      <c r="F174" s="238">
        <v>56003</v>
      </c>
      <c r="G174" s="577">
        <v>0</v>
      </c>
      <c r="H174" s="222"/>
    </row>
    <row r="175" spans="1:8" ht="20.100000000000001" customHeight="1">
      <c r="A175" s="628" t="s">
        <v>477</v>
      </c>
      <c r="B175" s="229"/>
      <c r="C175" s="229"/>
      <c r="D175" s="229"/>
      <c r="E175" s="229"/>
      <c r="F175" s="260" t="s">
        <v>478</v>
      </c>
      <c r="G175" s="577">
        <v>0</v>
      </c>
      <c r="H175" s="222"/>
    </row>
    <row r="176" spans="1:8" ht="20.100000000000001" customHeight="1">
      <c r="A176" s="628" t="s">
        <v>479</v>
      </c>
      <c r="B176" s="229"/>
      <c r="C176" s="229"/>
      <c r="D176" s="229"/>
      <c r="E176" s="229"/>
      <c r="F176" s="235" t="s">
        <v>480</v>
      </c>
      <c r="G176" s="577">
        <v>16934</v>
      </c>
      <c r="H176" s="222"/>
    </row>
    <row r="177" spans="1:8" ht="20.100000000000001" customHeight="1">
      <c r="A177" s="637" t="s">
        <v>481</v>
      </c>
      <c r="B177" s="222"/>
      <c r="C177" s="222"/>
      <c r="D177" s="222"/>
      <c r="E177" s="222"/>
      <c r="F177" s="256" t="s">
        <v>482</v>
      </c>
      <c r="G177" s="577">
        <v>203379</v>
      </c>
      <c r="H177" s="222"/>
    </row>
    <row r="178" spans="1:8" ht="20.100000000000001" customHeight="1">
      <c r="A178" s="628" t="s">
        <v>483</v>
      </c>
      <c r="B178" s="229"/>
      <c r="C178" s="229"/>
      <c r="D178" s="229"/>
      <c r="E178" s="229"/>
      <c r="F178" s="235" t="s">
        <v>484</v>
      </c>
      <c r="G178" s="577">
        <v>4101535</v>
      </c>
      <c r="H178" s="222"/>
    </row>
    <row r="179" spans="1:8" ht="20.100000000000001" customHeight="1">
      <c r="A179" s="628" t="s">
        <v>485</v>
      </c>
      <c r="B179" s="229"/>
      <c r="C179" s="229"/>
      <c r="D179" s="229"/>
      <c r="E179" s="229"/>
      <c r="F179" s="235" t="s">
        <v>486</v>
      </c>
      <c r="G179" s="577">
        <v>16044</v>
      </c>
      <c r="H179" s="222"/>
    </row>
    <row r="180" spans="1:8" ht="20.100000000000001" customHeight="1">
      <c r="A180" s="628" t="s">
        <v>487</v>
      </c>
      <c r="B180" s="229"/>
      <c r="C180" s="229"/>
      <c r="D180" s="229"/>
      <c r="E180" s="229"/>
      <c r="F180" s="235" t="s">
        <v>488</v>
      </c>
      <c r="G180" s="577">
        <v>0</v>
      </c>
      <c r="H180" s="222"/>
    </row>
    <row r="181" spans="1:8" ht="20.100000000000001" customHeight="1">
      <c r="A181" s="628" t="s">
        <v>489</v>
      </c>
      <c r="B181" s="229"/>
      <c r="C181" s="229"/>
      <c r="D181" s="229"/>
      <c r="E181" s="229"/>
      <c r="F181" s="235" t="s">
        <v>490</v>
      </c>
      <c r="G181" s="577">
        <v>0</v>
      </c>
      <c r="H181" s="222"/>
    </row>
    <row r="182" spans="1:8" ht="20.100000000000001" customHeight="1">
      <c r="A182" s="628" t="s">
        <v>491</v>
      </c>
      <c r="B182" s="229"/>
      <c r="C182" s="229"/>
      <c r="D182" s="229"/>
      <c r="E182" s="229"/>
      <c r="F182" s="235" t="s">
        <v>492</v>
      </c>
      <c r="G182" s="577">
        <v>0</v>
      </c>
      <c r="H182" s="222"/>
    </row>
    <row r="183" spans="1:8" ht="20.100000000000001" customHeight="1">
      <c r="A183" s="628" t="s">
        <v>493</v>
      </c>
      <c r="B183" s="229"/>
      <c r="C183" s="229"/>
      <c r="D183" s="229"/>
      <c r="E183" s="229"/>
      <c r="F183" s="235" t="s">
        <v>494</v>
      </c>
      <c r="G183" s="577">
        <v>0</v>
      </c>
      <c r="H183" s="222"/>
    </row>
    <row r="184" spans="1:8" ht="20.100000000000001" customHeight="1">
      <c r="A184" s="628" t="s">
        <v>495</v>
      </c>
      <c r="B184" s="229"/>
      <c r="C184" s="229"/>
      <c r="D184" s="229"/>
      <c r="E184" s="229"/>
      <c r="F184" s="235" t="s">
        <v>496</v>
      </c>
      <c r="G184" s="577">
        <v>150000</v>
      </c>
      <c r="H184" s="222"/>
    </row>
    <row r="185" spans="1:8" ht="20.100000000000001" customHeight="1">
      <c r="A185" s="628" t="s">
        <v>497</v>
      </c>
      <c r="B185" s="229"/>
      <c r="C185" s="229"/>
      <c r="D185" s="229"/>
      <c r="E185" s="229"/>
      <c r="F185" s="235" t="s">
        <v>498</v>
      </c>
      <c r="G185" s="577">
        <v>9839280</v>
      </c>
      <c r="H185" s="222"/>
    </row>
    <row r="186" spans="1:8" ht="20.100000000000001" customHeight="1">
      <c r="A186" s="628" t="s">
        <v>499</v>
      </c>
      <c r="B186" s="229"/>
      <c r="C186" s="229"/>
      <c r="D186" s="229"/>
      <c r="E186" s="229"/>
      <c r="F186" s="235" t="s">
        <v>500</v>
      </c>
      <c r="G186" s="577">
        <v>13388450</v>
      </c>
      <c r="H186" s="222"/>
    </row>
    <row r="187" spans="1:8" ht="20.100000000000001" customHeight="1">
      <c r="A187" s="628" t="s">
        <v>501</v>
      </c>
      <c r="B187" s="229"/>
      <c r="C187" s="229"/>
      <c r="D187" s="229"/>
      <c r="E187" s="229"/>
      <c r="F187" s="235" t="s">
        <v>502</v>
      </c>
      <c r="G187" s="577">
        <v>595000</v>
      </c>
      <c r="H187" s="222"/>
    </row>
    <row r="188" spans="1:8" ht="20.100000000000001" customHeight="1">
      <c r="A188" s="628" t="s">
        <v>503</v>
      </c>
      <c r="B188" s="229"/>
      <c r="C188" s="229"/>
      <c r="D188" s="229"/>
      <c r="E188" s="229"/>
      <c r="F188" s="235" t="s">
        <v>504</v>
      </c>
      <c r="G188" s="577">
        <v>50000</v>
      </c>
      <c r="H188" s="222"/>
    </row>
    <row r="189" spans="1:8" ht="20.100000000000001" customHeight="1">
      <c r="A189" s="628" t="s">
        <v>505</v>
      </c>
      <c r="B189" s="229"/>
      <c r="C189" s="229"/>
      <c r="D189" s="229"/>
      <c r="E189" s="229"/>
      <c r="F189" s="235" t="s">
        <v>506</v>
      </c>
      <c r="G189" s="577">
        <v>230000</v>
      </c>
      <c r="H189" s="222"/>
    </row>
    <row r="190" spans="1:8" ht="20.100000000000001" customHeight="1">
      <c r="A190" s="628" t="s">
        <v>507</v>
      </c>
      <c r="B190" s="229"/>
      <c r="C190" s="229"/>
      <c r="D190" s="229"/>
      <c r="E190" s="229"/>
      <c r="F190" s="261">
        <v>59600</v>
      </c>
      <c r="G190" s="577">
        <v>0</v>
      </c>
      <c r="H190" s="222"/>
    </row>
    <row r="191" spans="1:8" ht="20.100000000000001" customHeight="1">
      <c r="A191" s="628" t="s">
        <v>508</v>
      </c>
      <c r="B191" s="229"/>
      <c r="C191" s="229"/>
      <c r="D191" s="229"/>
      <c r="E191" s="229"/>
      <c r="F191" s="235" t="s">
        <v>509</v>
      </c>
      <c r="G191" s="577">
        <v>13681742</v>
      </c>
      <c r="H191" s="222"/>
    </row>
    <row r="192" spans="1:8" ht="20.100000000000001" customHeight="1">
      <c r="A192" s="628" t="s">
        <v>510</v>
      </c>
      <c r="B192" s="229"/>
      <c r="C192" s="229"/>
      <c r="D192" s="229"/>
      <c r="E192" s="229"/>
      <c r="F192" s="235" t="s">
        <v>511</v>
      </c>
      <c r="G192" s="577">
        <v>500000</v>
      </c>
      <c r="H192" s="222"/>
    </row>
    <row r="193" spans="1:8" ht="20.100000000000001" customHeight="1">
      <c r="A193" s="628" t="s">
        <v>512</v>
      </c>
      <c r="B193" s="229"/>
      <c r="C193" s="229"/>
      <c r="D193" s="229"/>
      <c r="E193" s="229"/>
      <c r="F193" s="235" t="s">
        <v>513</v>
      </c>
      <c r="G193" s="577">
        <v>0</v>
      </c>
      <c r="H193" s="222"/>
    </row>
    <row r="194" spans="1:8" ht="20.100000000000001" customHeight="1">
      <c r="A194" s="628"/>
      <c r="B194" s="229"/>
      <c r="C194" s="229"/>
      <c r="D194" s="229"/>
      <c r="E194" s="229"/>
      <c r="F194" s="235"/>
      <c r="G194" s="918"/>
      <c r="H194" s="222"/>
    </row>
    <row r="195" spans="1:8" ht="20.100000000000001" customHeight="1">
      <c r="A195" s="644" t="s">
        <v>514</v>
      </c>
      <c r="B195" s="645"/>
      <c r="C195" s="645"/>
      <c r="D195" s="645"/>
      <c r="E195" s="645"/>
      <c r="F195" s="658"/>
      <c r="G195" s="659">
        <f>SUM(G147:G193)</f>
        <v>188170963</v>
      </c>
      <c r="H195" s="222"/>
    </row>
    <row r="196" spans="1:8" ht="20.100000000000001" customHeight="1">
      <c r="A196" s="641"/>
      <c r="B196" s="262"/>
      <c r="C196" s="262"/>
      <c r="D196" s="262"/>
      <c r="E196" s="262"/>
      <c r="F196" s="281"/>
      <c r="G196" s="263"/>
      <c r="H196" s="222"/>
    </row>
    <row r="197" spans="1:8" ht="20.100000000000001" customHeight="1">
      <c r="A197" s="919" t="s">
        <v>515</v>
      </c>
      <c r="B197" s="756"/>
      <c r="C197" s="756"/>
      <c r="D197" s="756"/>
      <c r="E197" s="756"/>
      <c r="F197" s="904"/>
      <c r="G197" s="920"/>
      <c r="H197" s="222"/>
    </row>
    <row r="198" spans="1:8" ht="20.100000000000001" customHeight="1">
      <c r="A198" s="628"/>
      <c r="B198" s="229"/>
      <c r="C198" s="229"/>
      <c r="D198" s="229"/>
      <c r="E198" s="229"/>
      <c r="F198" s="235"/>
      <c r="G198" s="259"/>
      <c r="H198" s="222"/>
    </row>
    <row r="199" spans="1:8" ht="20.100000000000001" customHeight="1">
      <c r="A199" s="628" t="s">
        <v>516</v>
      </c>
      <c r="B199" s="229"/>
      <c r="C199" s="229"/>
      <c r="D199" s="229"/>
      <c r="E199" s="229"/>
      <c r="F199" s="235" t="s">
        <v>517</v>
      </c>
      <c r="G199" s="577">
        <v>561225</v>
      </c>
      <c r="H199" s="222"/>
    </row>
    <row r="200" spans="1:8" ht="20.100000000000001" customHeight="1">
      <c r="A200" s="628" t="s">
        <v>518</v>
      </c>
      <c r="B200" s="229"/>
      <c r="C200" s="229"/>
      <c r="D200" s="229"/>
      <c r="E200" s="229"/>
      <c r="F200" s="235" t="s">
        <v>519</v>
      </c>
      <c r="G200" s="577">
        <v>145970</v>
      </c>
      <c r="H200" s="222"/>
    </row>
    <row r="201" spans="1:8" ht="20.100000000000001" customHeight="1">
      <c r="A201" s="628" t="s">
        <v>520</v>
      </c>
      <c r="B201" s="229"/>
      <c r="C201" s="229"/>
      <c r="D201" s="229"/>
      <c r="E201" s="229"/>
      <c r="F201" s="235" t="s">
        <v>521</v>
      </c>
      <c r="G201" s="577">
        <v>1113348</v>
      </c>
      <c r="H201" s="222"/>
    </row>
    <row r="202" spans="1:8" ht="20.100000000000001" customHeight="1">
      <c r="A202" s="628" t="s">
        <v>522</v>
      </c>
      <c r="B202" s="229"/>
      <c r="C202" s="229"/>
      <c r="D202" s="229"/>
      <c r="E202" s="229"/>
      <c r="F202" s="235" t="s">
        <v>523</v>
      </c>
      <c r="G202" s="577">
        <v>237434</v>
      </c>
      <c r="H202" s="222"/>
    </row>
    <row r="203" spans="1:8" ht="20.100000000000001" customHeight="1">
      <c r="A203" s="628" t="s">
        <v>524</v>
      </c>
      <c r="B203" s="229"/>
      <c r="C203" s="229"/>
      <c r="D203" s="229"/>
      <c r="E203" s="229"/>
      <c r="F203" s="235" t="s">
        <v>525</v>
      </c>
      <c r="G203" s="577">
        <v>1933660</v>
      </c>
      <c r="H203" s="222"/>
    </row>
    <row r="204" spans="1:8" ht="20.100000000000001" customHeight="1">
      <c r="A204" s="628" t="s">
        <v>526</v>
      </c>
      <c r="B204" s="229"/>
      <c r="C204" s="229"/>
      <c r="D204" s="229"/>
      <c r="E204" s="229"/>
      <c r="F204" s="235" t="s">
        <v>527</v>
      </c>
      <c r="G204" s="577">
        <v>886769</v>
      </c>
      <c r="H204" s="222"/>
    </row>
    <row r="205" spans="1:8" ht="20.100000000000001" customHeight="1">
      <c r="A205" s="628" t="s">
        <v>528</v>
      </c>
      <c r="B205" s="229"/>
      <c r="C205" s="229"/>
      <c r="D205" s="229"/>
      <c r="E205" s="229"/>
      <c r="F205" s="235" t="s">
        <v>529</v>
      </c>
      <c r="G205" s="577">
        <v>3859255</v>
      </c>
      <c r="H205" s="222"/>
    </row>
    <row r="206" spans="1:8" ht="20.100000000000001" customHeight="1">
      <c r="A206" s="628" t="s">
        <v>530</v>
      </c>
      <c r="B206" s="229"/>
      <c r="C206" s="229"/>
      <c r="D206" s="229"/>
      <c r="E206" s="229"/>
      <c r="F206" s="235" t="s">
        <v>531</v>
      </c>
      <c r="G206" s="577">
        <v>0</v>
      </c>
      <c r="H206" s="222"/>
    </row>
    <row r="207" spans="1:8" ht="20.100000000000001" customHeight="1">
      <c r="A207" s="628" t="s">
        <v>532</v>
      </c>
      <c r="B207" s="229"/>
      <c r="C207" s="229"/>
      <c r="D207" s="229"/>
      <c r="E207" s="229"/>
      <c r="F207" s="235" t="s">
        <v>533</v>
      </c>
      <c r="G207" s="577">
        <v>379038</v>
      </c>
      <c r="H207" s="222"/>
    </row>
    <row r="208" spans="1:8" ht="20.100000000000001" customHeight="1">
      <c r="A208" s="628" t="s">
        <v>534</v>
      </c>
      <c r="B208" s="229"/>
      <c r="C208" s="229"/>
      <c r="D208" s="229"/>
      <c r="E208" s="229"/>
      <c r="F208" s="235" t="s">
        <v>535</v>
      </c>
      <c r="G208" s="577">
        <v>501200</v>
      </c>
      <c r="H208" s="222"/>
    </row>
    <row r="209" spans="1:8" ht="20.100000000000001" customHeight="1">
      <c r="A209" s="628" t="s">
        <v>536</v>
      </c>
      <c r="B209" s="229"/>
      <c r="C209" s="229"/>
      <c r="D209" s="229"/>
      <c r="E209" s="229"/>
      <c r="F209" s="235" t="s">
        <v>537</v>
      </c>
      <c r="G209" s="577">
        <v>3240187</v>
      </c>
      <c r="H209" s="222"/>
    </row>
    <row r="210" spans="1:8" ht="20.100000000000001" customHeight="1">
      <c r="A210" s="628" t="s">
        <v>538</v>
      </c>
      <c r="B210" s="229"/>
      <c r="C210" s="229"/>
      <c r="D210" s="229"/>
      <c r="E210" s="229"/>
      <c r="F210" s="235" t="s">
        <v>539</v>
      </c>
      <c r="G210" s="577">
        <v>187293</v>
      </c>
      <c r="H210" s="222"/>
    </row>
    <row r="211" spans="1:8" ht="20.100000000000001" customHeight="1">
      <c r="A211" s="628" t="s">
        <v>540</v>
      </c>
      <c r="B211" s="229"/>
      <c r="C211" s="229"/>
      <c r="D211" s="229"/>
      <c r="E211" s="229"/>
      <c r="F211" s="235" t="s">
        <v>541</v>
      </c>
      <c r="G211" s="577">
        <v>71721</v>
      </c>
      <c r="H211" s="222"/>
    </row>
    <row r="212" spans="1:8" ht="20.100000000000001" customHeight="1">
      <c r="A212" s="628" t="s">
        <v>542</v>
      </c>
      <c r="B212" s="222"/>
      <c r="C212" s="222"/>
      <c r="D212" s="222"/>
      <c r="E212" s="222"/>
      <c r="F212" s="235" t="s">
        <v>543</v>
      </c>
      <c r="G212" s="577">
        <v>18620</v>
      </c>
      <c r="H212" s="222"/>
    </row>
    <row r="213" spans="1:8" ht="20.100000000000001" customHeight="1">
      <c r="A213" s="628" t="s">
        <v>544</v>
      </c>
      <c r="B213" s="222"/>
      <c r="C213" s="222"/>
      <c r="D213" s="222"/>
      <c r="E213" s="222"/>
      <c r="F213" s="238">
        <v>64007</v>
      </c>
      <c r="G213" s="577">
        <v>107540</v>
      </c>
      <c r="H213" s="222"/>
    </row>
    <row r="214" spans="1:8" ht="20.100000000000001" customHeight="1">
      <c r="A214" s="628" t="s">
        <v>545</v>
      </c>
      <c r="B214" s="229"/>
      <c r="C214" s="229"/>
      <c r="D214" s="229"/>
      <c r="E214" s="229"/>
      <c r="F214" s="235" t="s">
        <v>546</v>
      </c>
      <c r="G214" s="577">
        <v>8154578</v>
      </c>
      <c r="H214" s="222"/>
    </row>
    <row r="215" spans="1:8" ht="20.100000000000001" customHeight="1">
      <c r="A215" s="628" t="s">
        <v>737</v>
      </c>
      <c r="B215" s="229"/>
      <c r="C215" s="229"/>
      <c r="D215" s="229"/>
      <c r="E215" s="229"/>
      <c r="F215" s="235" t="s">
        <v>547</v>
      </c>
      <c r="G215" s="577">
        <v>0</v>
      </c>
      <c r="H215" s="222"/>
    </row>
    <row r="216" spans="1:8" ht="20.100000000000001" customHeight="1">
      <c r="A216" s="628" t="s">
        <v>548</v>
      </c>
      <c r="B216" s="229"/>
      <c r="C216" s="229"/>
      <c r="D216" s="229"/>
      <c r="E216" s="229"/>
      <c r="F216" s="235" t="s">
        <v>549</v>
      </c>
      <c r="G216" s="577">
        <v>0</v>
      </c>
      <c r="H216" s="222"/>
    </row>
    <row r="217" spans="1:8" ht="20.100000000000001" customHeight="1">
      <c r="A217" s="628" t="s">
        <v>550</v>
      </c>
      <c r="B217" s="229"/>
      <c r="C217" s="229"/>
      <c r="D217" s="229"/>
      <c r="E217" s="229"/>
      <c r="F217" s="235" t="s">
        <v>551</v>
      </c>
      <c r="G217" s="577">
        <v>1282440</v>
      </c>
      <c r="H217" s="222"/>
    </row>
    <row r="218" spans="1:8" ht="20.100000000000001" customHeight="1">
      <c r="A218" s="628" t="s">
        <v>552</v>
      </c>
      <c r="B218" s="229"/>
      <c r="C218" s="229"/>
      <c r="D218" s="229"/>
      <c r="E218" s="229"/>
      <c r="F218" s="235" t="s">
        <v>553</v>
      </c>
      <c r="G218" s="577">
        <v>3123510</v>
      </c>
      <c r="H218" s="222"/>
    </row>
    <row r="219" spans="1:8" ht="20.100000000000001" customHeight="1">
      <c r="A219" s="628" t="s">
        <v>554</v>
      </c>
      <c r="B219" s="222"/>
      <c r="C219" s="222"/>
      <c r="D219" s="222"/>
      <c r="E219" s="222"/>
      <c r="F219" s="256" t="s">
        <v>555</v>
      </c>
      <c r="G219" s="577">
        <v>5869160</v>
      </c>
      <c r="H219" s="222"/>
    </row>
    <row r="220" spans="1:8" ht="20.100000000000001" customHeight="1">
      <c r="A220" s="628" t="s">
        <v>556</v>
      </c>
      <c r="B220" s="229"/>
      <c r="C220" s="229"/>
      <c r="D220" s="229"/>
      <c r="E220" s="229"/>
      <c r="F220" s="235" t="s">
        <v>557</v>
      </c>
      <c r="G220" s="577">
        <v>923279</v>
      </c>
      <c r="H220" s="222"/>
    </row>
    <row r="221" spans="1:8" ht="20.100000000000001" customHeight="1">
      <c r="A221" s="628" t="s">
        <v>558</v>
      </c>
      <c r="B221" s="229"/>
      <c r="C221" s="229"/>
      <c r="D221" s="229"/>
      <c r="E221" s="229"/>
      <c r="F221" s="235" t="s">
        <v>559</v>
      </c>
      <c r="G221" s="577">
        <v>349359</v>
      </c>
      <c r="H221" s="222"/>
    </row>
    <row r="222" spans="1:8" ht="20.100000000000001" customHeight="1">
      <c r="A222" s="629" t="s">
        <v>560</v>
      </c>
      <c r="B222" s="232"/>
      <c r="C222" s="232"/>
      <c r="D222" s="232"/>
      <c r="E222" s="232"/>
      <c r="F222" s="248" t="s">
        <v>561</v>
      </c>
      <c r="G222" s="577">
        <v>465336</v>
      </c>
      <c r="H222" s="222"/>
    </row>
    <row r="223" spans="1:8" ht="20.100000000000001" customHeight="1">
      <c r="A223" s="628" t="s">
        <v>562</v>
      </c>
      <c r="B223" s="229"/>
      <c r="C223" s="229"/>
      <c r="D223" s="229"/>
      <c r="E223" s="229"/>
      <c r="F223" s="253" t="s">
        <v>563</v>
      </c>
      <c r="G223" s="577">
        <v>0</v>
      </c>
      <c r="H223" s="222"/>
    </row>
    <row r="224" spans="1:8" ht="20.100000000000001" customHeight="1">
      <c r="A224" s="628" t="s">
        <v>564</v>
      </c>
      <c r="B224" s="229"/>
      <c r="C224" s="229"/>
      <c r="D224" s="229"/>
      <c r="E224" s="229"/>
      <c r="F224" s="235" t="s">
        <v>565</v>
      </c>
      <c r="G224" s="577">
        <v>0</v>
      </c>
      <c r="H224" s="222"/>
    </row>
    <row r="225" spans="1:9" ht="20.100000000000001" customHeight="1">
      <c r="A225" s="628" t="s">
        <v>566</v>
      </c>
      <c r="B225" s="229"/>
      <c r="C225" s="229"/>
      <c r="D225" s="229"/>
      <c r="E225" s="229"/>
      <c r="F225" s="235" t="s">
        <v>567</v>
      </c>
      <c r="G225" s="577">
        <v>0</v>
      </c>
      <c r="H225" s="222"/>
    </row>
    <row r="226" spans="1:9" ht="20.100000000000001" customHeight="1">
      <c r="A226" s="628" t="s">
        <v>568</v>
      </c>
      <c r="B226" s="229"/>
      <c r="C226" s="229"/>
      <c r="D226" s="229"/>
      <c r="E226" s="229"/>
      <c r="F226" s="235" t="s">
        <v>569</v>
      </c>
      <c r="G226" s="577">
        <v>16040</v>
      </c>
      <c r="H226" s="222"/>
    </row>
    <row r="227" spans="1:9" ht="20.100000000000001" customHeight="1">
      <c r="A227" s="628" t="s">
        <v>570</v>
      </c>
      <c r="B227" s="229"/>
      <c r="C227" s="229"/>
      <c r="D227" s="229"/>
      <c r="E227" s="229"/>
      <c r="F227" s="235" t="s">
        <v>571</v>
      </c>
      <c r="G227" s="577">
        <v>456460</v>
      </c>
      <c r="H227" s="222"/>
    </row>
    <row r="228" spans="1:9" ht="20.100000000000001" customHeight="1">
      <c r="A228" s="628" t="s">
        <v>572</v>
      </c>
      <c r="B228" s="229"/>
      <c r="C228" s="229"/>
      <c r="D228" s="229"/>
      <c r="E228" s="229"/>
      <c r="F228" s="235" t="s">
        <v>573</v>
      </c>
      <c r="G228" s="577">
        <v>316250</v>
      </c>
      <c r="H228" s="222"/>
    </row>
    <row r="229" spans="1:9" ht="20.100000000000001" customHeight="1">
      <c r="A229" s="642" t="s">
        <v>574</v>
      </c>
      <c r="B229" s="229"/>
      <c r="C229" s="229"/>
      <c r="D229" s="264"/>
      <c r="E229" s="229"/>
      <c r="F229" s="265" t="s">
        <v>575</v>
      </c>
      <c r="G229" s="577">
        <v>0</v>
      </c>
      <c r="H229" s="222"/>
    </row>
    <row r="230" spans="1:9" ht="20.100000000000001" customHeight="1">
      <c r="A230" s="642" t="s">
        <v>576</v>
      </c>
      <c r="B230" s="266"/>
      <c r="C230" s="266"/>
      <c r="D230" s="267"/>
      <c r="E230" s="266"/>
      <c r="F230" s="268" t="s">
        <v>577</v>
      </c>
      <c r="G230" s="577">
        <v>0</v>
      </c>
      <c r="H230" s="222"/>
    </row>
    <row r="231" spans="1:9" ht="20.100000000000001" customHeight="1">
      <c r="A231" s="642" t="s">
        <v>578</v>
      </c>
      <c r="B231" s="266"/>
      <c r="C231" s="266"/>
      <c r="D231" s="267"/>
      <c r="E231" s="266"/>
      <c r="F231" s="268" t="s">
        <v>579</v>
      </c>
      <c r="G231" s="577">
        <v>0</v>
      </c>
      <c r="H231" s="222"/>
    </row>
    <row r="232" spans="1:9" ht="20.100000000000001" customHeight="1">
      <c r="A232" s="642" t="s">
        <v>580</v>
      </c>
      <c r="B232" s="266"/>
      <c r="C232" s="266"/>
      <c r="D232" s="267"/>
      <c r="E232" s="266"/>
      <c r="F232" s="269" t="s">
        <v>581</v>
      </c>
      <c r="G232" s="577">
        <v>0</v>
      </c>
      <c r="H232" s="222"/>
    </row>
    <row r="233" spans="1:9" ht="20.100000000000001" customHeight="1">
      <c r="A233" s="642" t="s">
        <v>582</v>
      </c>
      <c r="B233" s="266"/>
      <c r="C233" s="266"/>
      <c r="D233" s="267"/>
      <c r="E233" s="266"/>
      <c r="F233" s="270">
        <v>69270</v>
      </c>
      <c r="G233" s="577">
        <v>0</v>
      </c>
      <c r="H233" s="222"/>
    </row>
    <row r="234" spans="1:9" ht="20.100000000000001" customHeight="1">
      <c r="A234" s="628" t="s">
        <v>583</v>
      </c>
      <c r="B234" s="229"/>
      <c r="C234" s="229"/>
      <c r="D234" s="229"/>
      <c r="E234" s="229"/>
      <c r="F234" s="235" t="s">
        <v>584</v>
      </c>
      <c r="G234" s="577">
        <v>746793</v>
      </c>
      <c r="H234" s="222"/>
      <c r="I234" s="271"/>
    </row>
    <row r="235" spans="1:9" ht="20.100000000000001" customHeight="1">
      <c r="A235" s="628" t="s">
        <v>585</v>
      </c>
      <c r="B235" s="229"/>
      <c r="C235" s="229"/>
      <c r="D235" s="229"/>
      <c r="E235" s="229"/>
      <c r="F235" s="235" t="s">
        <v>586</v>
      </c>
      <c r="G235" s="577">
        <v>0</v>
      </c>
      <c r="H235" s="222"/>
    </row>
    <row r="236" spans="1:9" ht="20.100000000000001" customHeight="1">
      <c r="A236" s="628" t="s">
        <v>587</v>
      </c>
      <c r="B236" s="229"/>
      <c r="C236" s="229"/>
      <c r="D236" s="229"/>
      <c r="E236" s="229"/>
      <c r="F236" s="235" t="s">
        <v>588</v>
      </c>
      <c r="G236" s="577">
        <v>0</v>
      </c>
      <c r="H236" s="222"/>
    </row>
    <row r="237" spans="1:9" ht="20.100000000000001" customHeight="1">
      <c r="A237" s="628"/>
      <c r="B237" s="229"/>
      <c r="C237" s="229"/>
      <c r="D237" s="229"/>
      <c r="E237" s="229"/>
      <c r="F237" s="235"/>
      <c r="G237" s="272"/>
      <c r="H237" s="222"/>
    </row>
    <row r="238" spans="1:9" ht="20.100000000000001" customHeight="1">
      <c r="A238" s="915" t="s">
        <v>589</v>
      </c>
      <c r="B238" s="711"/>
      <c r="C238" s="711"/>
      <c r="D238" s="711"/>
      <c r="E238" s="711"/>
      <c r="F238" s="712"/>
      <c r="G238" s="787">
        <f>SUM(G199:G236)</f>
        <v>34946465</v>
      </c>
      <c r="H238" s="222"/>
    </row>
    <row r="239" spans="1:9" ht="20.100000000000001" customHeight="1">
      <c r="A239" s="641"/>
      <c r="B239" s="262"/>
      <c r="C239" s="262"/>
      <c r="D239" s="262"/>
      <c r="E239" s="262"/>
      <c r="F239" s="716"/>
      <c r="G239" s="717"/>
      <c r="H239" s="222"/>
    </row>
    <row r="240" spans="1:9" ht="20.100000000000001" customHeight="1">
      <c r="A240" s="1064" t="s">
        <v>170</v>
      </c>
      <c r="B240" s="1065"/>
      <c r="C240" s="1065"/>
      <c r="D240" s="1065"/>
      <c r="E240" s="1065"/>
      <c r="F240" s="1066"/>
      <c r="G240" s="921"/>
      <c r="H240" s="222"/>
    </row>
    <row r="241" spans="1:10" ht="20.100000000000001" customHeight="1">
      <c r="A241" s="628"/>
      <c r="B241" s="229"/>
      <c r="C241" s="229"/>
      <c r="D241" s="229"/>
      <c r="E241" s="229"/>
      <c r="F241" s="235"/>
      <c r="G241" s="272"/>
      <c r="H241" s="222"/>
    </row>
    <row r="242" spans="1:10" ht="20.100000000000001" customHeight="1">
      <c r="A242" s="629" t="s">
        <v>590</v>
      </c>
      <c r="B242" s="232"/>
      <c r="C242" s="232"/>
      <c r="D242" s="232"/>
      <c r="E242" s="232"/>
      <c r="F242" s="248" t="s">
        <v>591</v>
      </c>
      <c r="G242" s="577">
        <v>0</v>
      </c>
      <c r="H242" s="222"/>
    </row>
    <row r="243" spans="1:10" ht="20.100000000000001" customHeight="1">
      <c r="A243" s="629" t="s">
        <v>592</v>
      </c>
      <c r="B243" s="232"/>
      <c r="C243" s="232"/>
      <c r="D243" s="232"/>
      <c r="E243" s="232"/>
      <c r="F243" s="248" t="s">
        <v>593</v>
      </c>
      <c r="G243" s="577">
        <v>3187573</v>
      </c>
      <c r="H243" s="222"/>
    </row>
    <row r="244" spans="1:10" ht="20.100000000000001" customHeight="1">
      <c r="A244" s="628" t="s">
        <v>594</v>
      </c>
      <c r="B244" s="229"/>
      <c r="C244" s="229"/>
      <c r="D244" s="229"/>
      <c r="E244" s="229"/>
      <c r="F244" s="235" t="s">
        <v>595</v>
      </c>
      <c r="G244" s="577">
        <v>623740</v>
      </c>
      <c r="H244" s="222"/>
    </row>
    <row r="245" spans="1:10" ht="20.100000000000001" customHeight="1">
      <c r="A245" s="629" t="s">
        <v>596</v>
      </c>
      <c r="B245" s="232"/>
      <c r="C245" s="232"/>
      <c r="D245" s="232"/>
      <c r="E245" s="232"/>
      <c r="F245" s="248" t="s">
        <v>597</v>
      </c>
      <c r="G245" s="577">
        <v>0</v>
      </c>
      <c r="H245" s="665"/>
      <c r="I245" s="225"/>
    </row>
    <row r="246" spans="1:10" ht="20.100000000000001" customHeight="1">
      <c r="A246" s="629" t="s">
        <v>598</v>
      </c>
      <c r="B246" s="232"/>
      <c r="C246" s="232"/>
      <c r="D246" s="232"/>
      <c r="E246" s="232"/>
      <c r="F246" s="255">
        <v>73050</v>
      </c>
      <c r="G246" s="577">
        <v>0</v>
      </c>
      <c r="H246" s="665"/>
      <c r="I246" s="225"/>
    </row>
    <row r="247" spans="1:10" ht="20.100000000000001" customHeight="1">
      <c r="A247" s="629" t="s">
        <v>782</v>
      </c>
      <c r="B247" s="232"/>
      <c r="C247" s="232"/>
      <c r="D247" s="232"/>
      <c r="E247" s="232"/>
      <c r="F247" s="255">
        <v>73100</v>
      </c>
      <c r="G247" s="577">
        <v>241104</v>
      </c>
      <c r="H247" s="665"/>
      <c r="I247" s="225"/>
    </row>
    <row r="248" spans="1:10" ht="20.100000000000001" customHeight="1">
      <c r="A248" s="629" t="s">
        <v>599</v>
      </c>
      <c r="B248" s="232"/>
      <c r="C248" s="232"/>
      <c r="D248" s="232"/>
      <c r="E248" s="232"/>
      <c r="F248" s="248" t="s">
        <v>600</v>
      </c>
      <c r="G248" s="577">
        <v>0</v>
      </c>
      <c r="H248" s="665"/>
      <c r="I248" s="225"/>
    </row>
    <row r="249" spans="1:10" ht="20.100000000000001" customHeight="1">
      <c r="A249" s="629" t="s">
        <v>601</v>
      </c>
      <c r="B249" s="232"/>
      <c r="C249" s="232"/>
      <c r="D249" s="232"/>
      <c r="E249" s="232"/>
      <c r="F249" s="248" t="s">
        <v>602</v>
      </c>
      <c r="G249" s="577">
        <v>0</v>
      </c>
      <c r="H249" s="665"/>
      <c r="I249" s="225"/>
      <c r="J249" s="225"/>
    </row>
    <row r="250" spans="1:10" s="225" customFormat="1" ht="20.100000000000001" customHeight="1">
      <c r="A250" s="629" t="s">
        <v>603</v>
      </c>
      <c r="B250" s="232"/>
      <c r="C250" s="232"/>
      <c r="D250" s="232"/>
      <c r="E250" s="232"/>
      <c r="F250" s="248" t="s">
        <v>604</v>
      </c>
      <c r="G250" s="577">
        <v>0</v>
      </c>
      <c r="H250" s="665"/>
    </row>
    <row r="251" spans="1:10" ht="20.100000000000001" customHeight="1">
      <c r="A251" s="629" t="s">
        <v>605</v>
      </c>
      <c r="B251" s="232"/>
      <c r="C251" s="232"/>
      <c r="D251" s="232"/>
      <c r="E251" s="232"/>
      <c r="F251" s="248" t="s">
        <v>606</v>
      </c>
      <c r="G251" s="577">
        <v>0</v>
      </c>
      <c r="H251" s="665"/>
      <c r="I251" s="225"/>
      <c r="J251" s="225"/>
    </row>
    <row r="252" spans="1:10" ht="20.100000000000001" customHeight="1">
      <c r="A252" s="629" t="s">
        <v>607</v>
      </c>
      <c r="B252" s="232"/>
      <c r="C252" s="232"/>
      <c r="D252" s="232"/>
      <c r="E252" s="232"/>
      <c r="F252" s="248" t="s">
        <v>608</v>
      </c>
      <c r="G252" s="577">
        <v>0</v>
      </c>
      <c r="H252" s="665"/>
      <c r="I252" s="225"/>
    </row>
    <row r="253" spans="1:10" ht="20.100000000000001" customHeight="1">
      <c r="A253" s="629"/>
      <c r="B253" s="232"/>
      <c r="C253" s="232"/>
      <c r="D253" s="232"/>
      <c r="E253" s="232"/>
      <c r="F253" s="248"/>
      <c r="G253" s="922"/>
      <c r="H253" s="665"/>
      <c r="I253" s="225"/>
    </row>
    <row r="254" spans="1:10" ht="20.100000000000001" customHeight="1">
      <c r="A254" s="915" t="s">
        <v>609</v>
      </c>
      <c r="B254" s="711"/>
      <c r="C254" s="711"/>
      <c r="D254" s="711"/>
      <c r="E254" s="711"/>
      <c r="F254" s="712"/>
      <c r="G254" s="787">
        <f>SUM(G242:G252)</f>
        <v>4052417</v>
      </c>
      <c r="H254" s="222"/>
    </row>
    <row r="255" spans="1:10" ht="20.100000000000001" customHeight="1">
      <c r="A255" s="641"/>
      <c r="B255" s="262"/>
      <c r="C255" s="262"/>
      <c r="D255" s="262"/>
      <c r="E255" s="262"/>
      <c r="F255" s="262"/>
      <c r="G255" s="718"/>
      <c r="H255" s="222"/>
    </row>
    <row r="256" spans="1:10" ht="20.100000000000001" customHeight="1" thickBot="1">
      <c r="A256" s="660" t="s">
        <v>610</v>
      </c>
      <c r="B256" s="661"/>
      <c r="C256" s="661"/>
      <c r="D256" s="661"/>
      <c r="E256" s="661"/>
      <c r="F256" s="662"/>
      <c r="G256" s="663">
        <f>SUM(G195+G238+G254)</f>
        <v>227169845</v>
      </c>
      <c r="H256" s="222"/>
    </row>
    <row r="257" spans="1:8" ht="20.100000000000001" customHeight="1" thickTop="1">
      <c r="A257" s="923"/>
      <c r="B257" s="924"/>
      <c r="C257" s="924"/>
      <c r="D257" s="924"/>
      <c r="E257" s="924"/>
      <c r="F257" s="925"/>
      <c r="G257" s="926"/>
      <c r="H257" s="222"/>
    </row>
    <row r="258" spans="1:8" ht="20.100000000000001" customHeight="1">
      <c r="A258" s="1073"/>
      <c r="B258" s="1074"/>
      <c r="C258" s="1074"/>
      <c r="D258" s="1074"/>
      <c r="E258" s="1074"/>
      <c r="F258" s="1075"/>
      <c r="G258" s="927"/>
      <c r="H258" s="222"/>
    </row>
    <row r="259" spans="1:8" ht="20.100000000000001" customHeight="1">
      <c r="A259" s="628"/>
      <c r="B259" s="229"/>
      <c r="C259" s="229"/>
      <c r="D259" s="229"/>
      <c r="E259" s="229"/>
      <c r="F259" s="235"/>
      <c r="G259" s="272"/>
      <c r="H259" s="222"/>
    </row>
    <row r="260" spans="1:8" ht="20.100000000000001" customHeight="1">
      <c r="A260" s="628" t="s">
        <v>611</v>
      </c>
      <c r="B260" s="229"/>
      <c r="C260" s="229"/>
      <c r="D260" s="229"/>
      <c r="E260" s="229"/>
      <c r="F260" s="273">
        <v>30100</v>
      </c>
      <c r="G260" s="576">
        <v>0</v>
      </c>
      <c r="H260" s="222"/>
    </row>
    <row r="261" spans="1:8" ht="20.100000000000001" customHeight="1">
      <c r="A261" s="628" t="s">
        <v>612</v>
      </c>
      <c r="B261" s="229"/>
      <c r="C261" s="229"/>
      <c r="D261" s="229"/>
      <c r="E261" s="229"/>
      <c r="F261" s="273">
        <v>30200</v>
      </c>
      <c r="G261" s="577">
        <v>0</v>
      </c>
      <c r="H261" s="222"/>
    </row>
    <row r="262" spans="1:8" ht="20.100000000000001" customHeight="1">
      <c r="A262" s="628" t="s">
        <v>613</v>
      </c>
      <c r="B262" s="229"/>
      <c r="C262" s="229"/>
      <c r="D262" s="229"/>
      <c r="E262" s="229"/>
      <c r="F262" s="273">
        <v>30300</v>
      </c>
      <c r="G262" s="577">
        <v>0</v>
      </c>
      <c r="H262" s="222"/>
    </row>
    <row r="263" spans="1:8" ht="20.100000000000001" customHeight="1">
      <c r="A263" s="628" t="s">
        <v>614</v>
      </c>
      <c r="B263" s="229"/>
      <c r="C263" s="229"/>
      <c r="D263" s="229"/>
      <c r="E263" s="229"/>
      <c r="F263" s="273">
        <v>30400</v>
      </c>
      <c r="G263" s="577">
        <v>0</v>
      </c>
      <c r="H263" s="222"/>
    </row>
    <row r="264" spans="1:8" ht="20.100000000000001" customHeight="1">
      <c r="A264" s="628" t="s">
        <v>615</v>
      </c>
      <c r="B264" s="229"/>
      <c r="C264" s="229"/>
      <c r="D264" s="229"/>
      <c r="E264" s="229"/>
      <c r="F264" s="273">
        <v>30500</v>
      </c>
      <c r="G264" s="577">
        <v>0</v>
      </c>
      <c r="H264" s="222"/>
    </row>
    <row r="265" spans="1:8" ht="20.100000000000001" customHeight="1">
      <c r="A265" s="628" t="s">
        <v>616</v>
      </c>
      <c r="B265" s="229"/>
      <c r="C265" s="229"/>
      <c r="D265" s="229"/>
      <c r="E265" s="229"/>
      <c r="F265" s="273">
        <v>30600</v>
      </c>
      <c r="G265" s="577">
        <v>0</v>
      </c>
      <c r="H265" s="222"/>
    </row>
    <row r="266" spans="1:8" ht="20.100000000000001" customHeight="1">
      <c r="A266" s="628" t="s">
        <v>617</v>
      </c>
      <c r="B266" s="229"/>
      <c r="C266" s="229"/>
      <c r="D266" s="229"/>
      <c r="E266" s="229"/>
      <c r="F266" s="273">
        <v>30700</v>
      </c>
      <c r="G266" s="577">
        <v>0</v>
      </c>
      <c r="H266" s="222"/>
    </row>
    <row r="267" spans="1:8" ht="20.100000000000001" customHeight="1">
      <c r="A267" s="628" t="s">
        <v>618</v>
      </c>
      <c r="B267" s="229"/>
      <c r="C267" s="229"/>
      <c r="D267" s="229"/>
      <c r="E267" s="229"/>
      <c r="F267" s="273">
        <v>30900</v>
      </c>
      <c r="G267" s="577">
        <v>400000</v>
      </c>
      <c r="H267" s="222"/>
    </row>
    <row r="268" spans="1:8" ht="20.100000000000001" customHeight="1">
      <c r="A268" s="628" t="s">
        <v>619</v>
      </c>
      <c r="B268" s="229"/>
      <c r="C268" s="229"/>
      <c r="D268" s="229"/>
      <c r="E268" s="229"/>
      <c r="F268" s="273">
        <v>31100</v>
      </c>
      <c r="G268" s="766">
        <v>26672443</v>
      </c>
      <c r="H268" s="222"/>
    </row>
    <row r="269" spans="1:8" ht="20.100000000000001" customHeight="1">
      <c r="A269" s="628"/>
      <c r="B269" s="229"/>
      <c r="C269" s="229"/>
      <c r="D269" s="229"/>
      <c r="E269" s="229"/>
      <c r="F269" s="273"/>
      <c r="G269" s="928"/>
      <c r="H269" s="222"/>
    </row>
    <row r="270" spans="1:8" ht="20.100000000000001" customHeight="1">
      <c r="A270" s="630" t="s">
        <v>620</v>
      </c>
      <c r="B270" s="229"/>
      <c r="C270" s="229"/>
      <c r="D270" s="229"/>
      <c r="E270" s="229"/>
      <c r="F270" s="273"/>
      <c r="G270" s="929">
        <f>SUM(G260:G268)</f>
        <v>27072443</v>
      </c>
      <c r="H270" s="222"/>
    </row>
    <row r="271" spans="1:8" ht="20.100000000000001" customHeight="1">
      <c r="A271" s="630"/>
      <c r="B271" s="229"/>
      <c r="C271" s="229"/>
      <c r="D271" s="229"/>
      <c r="E271" s="229"/>
      <c r="F271" s="273"/>
      <c r="G271" s="272"/>
      <c r="H271" s="222"/>
    </row>
    <row r="272" spans="1:8" ht="20.100000000000001" customHeight="1">
      <c r="A272" s="643" t="s">
        <v>735</v>
      </c>
      <c r="B272" s="222"/>
      <c r="C272" s="222"/>
      <c r="D272" s="222"/>
      <c r="E272" s="222"/>
      <c r="F272" s="256">
        <v>30800</v>
      </c>
      <c r="G272" s="722">
        <v>-112715486</v>
      </c>
      <c r="H272" s="666"/>
    </row>
    <row r="273" spans="1:12" ht="20.100000000000001" customHeight="1">
      <c r="A273" s="637"/>
      <c r="B273" s="222"/>
      <c r="C273" s="222"/>
      <c r="D273" s="222"/>
      <c r="E273" s="222"/>
      <c r="F273" s="256"/>
      <c r="G273" s="272"/>
      <c r="H273" s="222"/>
    </row>
    <row r="274" spans="1:12" ht="20.100000000000001" customHeight="1">
      <c r="A274" s="644" t="s">
        <v>621</v>
      </c>
      <c r="B274" s="645"/>
      <c r="C274" s="645"/>
      <c r="D274" s="645"/>
      <c r="E274" s="645"/>
      <c r="F274" s="646"/>
      <c r="G274" s="647">
        <f>G270+G272</f>
        <v>-85643043</v>
      </c>
      <c r="H274" s="667"/>
    </row>
    <row r="275" spans="1:12">
      <c r="A275" s="274"/>
      <c r="B275" s="274"/>
      <c r="C275" s="274"/>
      <c r="D275" s="274"/>
      <c r="E275" s="274"/>
      <c r="F275" s="275"/>
      <c r="G275" s="276"/>
      <c r="H275" s="277"/>
      <c r="I275" s="277"/>
      <c r="J275" s="277"/>
      <c r="K275" s="277"/>
      <c r="L275" s="277"/>
    </row>
    <row r="276" spans="1:12" s="225" customFormat="1" ht="13.5" customHeight="1">
      <c r="A276" s="1061"/>
      <c r="B276" s="1061"/>
      <c r="C276" s="1061"/>
      <c r="D276" s="1061"/>
      <c r="E276" s="1061"/>
      <c r="F276" s="1061"/>
      <c r="G276" s="1061"/>
      <c r="H276" s="1061"/>
      <c r="I276" s="278"/>
      <c r="J276" s="278"/>
      <c r="K276" s="278"/>
      <c r="L276" s="278"/>
    </row>
    <row r="277" spans="1:12" s="225" customFormat="1">
      <c r="A277" s="1061"/>
      <c r="B277" s="1061"/>
      <c r="C277" s="1061"/>
      <c r="D277" s="1061"/>
      <c r="E277" s="1061"/>
      <c r="F277" s="1061"/>
      <c r="G277" s="1061"/>
      <c r="H277" s="1061"/>
      <c r="I277" s="278"/>
      <c r="J277" s="278"/>
      <c r="K277" s="278"/>
      <c r="L277" s="278"/>
    </row>
    <row r="278" spans="1:12" s="225" customFormat="1">
      <c r="A278" s="1061"/>
      <c r="B278" s="1061"/>
      <c r="C278" s="1061"/>
      <c r="D278" s="1061"/>
      <c r="E278" s="1061"/>
      <c r="F278" s="1061"/>
      <c r="G278" s="1061"/>
      <c r="H278" s="106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48" orientation="portrait" r:id="rId1"/>
  <headerFooter alignWithMargins="0"/>
  <rowBreaks count="3" manualBreakCount="3">
    <brk id="71"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ee822479-6e51-4d14-b6b0-2c589e913e66"/>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2021-06-23T18:10:01Z</cp:lastPrinted>
  <dcterms:created xsi:type="dcterms:W3CDTF">2005-03-22T15:46:43Z</dcterms:created>
  <dcterms:modified xsi:type="dcterms:W3CDTF">2021-07-07T14:38:43Z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7" name="_NewReviewCycle">
    <vt:lpwstr/>
  </property>
</Properties>
</file>