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FCS Finance Website\2021-22 Reports\2021-22 Operating Budgets\"/>
    </mc:Choice>
  </mc:AlternateContent>
  <bookViews>
    <workbookView xWindow="0" yWindow="0" windowWidth="16050" windowHeight="9645" firstSheet="1" activeTab="4"/>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G'!$C$125:$C$137</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D'!$A$1:$G$275</definedName>
    <definedName name="_xlnm.Print_Area" localSheetId="9">'EXHIBIT E'!$A$1:$E$21</definedName>
    <definedName name="_xlnm.Print_Area" localSheetId="10">'EXHIBIT F'!$A$1:$B$50</definedName>
    <definedName name="_xlnm.Print_Area" localSheetId="11">'EXHIBIT G'!$A$1:$F$157</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D'!$A$2:$H$279</definedName>
    <definedName name="Z_8CA1AA3C_D3A6_493D_93EE_74DE1406A5FE_.wvu.PrintArea" localSheetId="9" hidden="1">'EXHIBIT E'!$A$1:$F$23</definedName>
    <definedName name="Z_8CA1AA3C_D3A6_493D_93EE_74DE1406A5FE_.wvu.PrintArea" localSheetId="11" hidden="1">'EXHIBIT G'!$A$1:$E$131</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131" i="15" l="1"/>
  <c r="D85" i="15" l="1"/>
  <c r="D70" i="15"/>
  <c r="D48" i="15" l="1"/>
  <c r="D16" i="15"/>
  <c r="D54" i="15"/>
  <c r="D30" i="15"/>
  <c r="D25" i="15"/>
  <c r="D15" i="15"/>
  <c r="D11" i="15"/>
  <c r="D128" i="15" l="1"/>
  <c r="D18" i="8" l="1"/>
  <c r="G46" i="7" l="1"/>
  <c r="AF136" i="23" l="1"/>
  <c r="AE136" i="23"/>
  <c r="AA136" i="23"/>
  <c r="X136" i="23"/>
  <c r="W136" i="23"/>
  <c r="R136" i="23"/>
  <c r="Q136" i="23"/>
  <c r="O136" i="23"/>
  <c r="N136" i="23"/>
  <c r="L136" i="23"/>
  <c r="K136" i="23"/>
  <c r="I136" i="23"/>
  <c r="H136" i="23"/>
  <c r="F136" i="23"/>
  <c r="E136" i="23"/>
  <c r="B136" i="23"/>
  <c r="AG135" i="23"/>
  <c r="AB135" i="23" s="1"/>
  <c r="Z135" i="23" s="1"/>
  <c r="AD135" i="23"/>
  <c r="V135" i="23"/>
  <c r="S135" i="23"/>
  <c r="P135" i="23"/>
  <c r="M135" i="23"/>
  <c r="J135" i="23"/>
  <c r="G135" i="23"/>
  <c r="D135" i="23"/>
  <c r="A135" i="23"/>
  <c r="AG134" i="23"/>
  <c r="AB134" i="23"/>
  <c r="Z134" i="23" s="1"/>
  <c r="V134" i="23"/>
  <c r="S134" i="23"/>
  <c r="P134" i="23"/>
  <c r="M134" i="23"/>
  <c r="J134" i="23"/>
  <c r="G134" i="23"/>
  <c r="D134" i="23"/>
  <c r="A134" i="23"/>
  <c r="AD134" i="23" s="1"/>
  <c r="AG133" i="23"/>
  <c r="AB133" i="23" s="1"/>
  <c r="Z133" i="23" s="1"/>
  <c r="V133" i="23"/>
  <c r="S133" i="23"/>
  <c r="P133" i="23"/>
  <c r="M133" i="23"/>
  <c r="J133" i="23"/>
  <c r="G133" i="23"/>
  <c r="D133" i="23"/>
  <c r="T133" i="23" s="1"/>
  <c r="A133" i="23"/>
  <c r="AD133" i="23" s="1"/>
  <c r="AG132" i="23"/>
  <c r="AB132" i="23" s="1"/>
  <c r="Z132" i="23" s="1"/>
  <c r="V132" i="23"/>
  <c r="S132" i="23"/>
  <c r="P132" i="23"/>
  <c r="M132" i="23"/>
  <c r="J132" i="23"/>
  <c r="G132" i="23"/>
  <c r="D132" i="23"/>
  <c r="A132" i="23"/>
  <c r="AD132" i="23" s="1"/>
  <c r="AG131" i="23"/>
  <c r="AB131" i="23"/>
  <c r="Z131" i="23" s="1"/>
  <c r="V131" i="23"/>
  <c r="S131" i="23"/>
  <c r="P131" i="23"/>
  <c r="M131" i="23"/>
  <c r="J131" i="23"/>
  <c r="G131" i="23"/>
  <c r="D131" i="23"/>
  <c r="A131" i="23"/>
  <c r="AD131" i="23" s="1"/>
  <c r="AG130" i="23"/>
  <c r="AB130" i="23" s="1"/>
  <c r="Z130" i="23" s="1"/>
  <c r="V130" i="23"/>
  <c r="S130" i="23"/>
  <c r="P130" i="23"/>
  <c r="M130" i="23"/>
  <c r="J130" i="23"/>
  <c r="G130" i="23"/>
  <c r="D130" i="23"/>
  <c r="T130" i="23" s="1"/>
  <c r="A130" i="23"/>
  <c r="AD130" i="23" s="1"/>
  <c r="AG129" i="23"/>
  <c r="AB129" i="23" s="1"/>
  <c r="Z129" i="23" s="1"/>
  <c r="V129" i="23"/>
  <c r="S129" i="23"/>
  <c r="P129" i="23"/>
  <c r="M129" i="23"/>
  <c r="J129" i="23"/>
  <c r="G129" i="23"/>
  <c r="D129" i="23"/>
  <c r="A129" i="23"/>
  <c r="AD129" i="23" s="1"/>
  <c r="AG128" i="23"/>
  <c r="AB128" i="23" s="1"/>
  <c r="Z128" i="23" s="1"/>
  <c r="V128" i="23"/>
  <c r="S128" i="23"/>
  <c r="P128" i="23"/>
  <c r="M128" i="23"/>
  <c r="J128" i="23"/>
  <c r="G128" i="23"/>
  <c r="D128" i="23"/>
  <c r="A128" i="23"/>
  <c r="AD128" i="23" s="1"/>
  <c r="AG127" i="23"/>
  <c r="AB127" i="23"/>
  <c r="Z127" i="23" s="1"/>
  <c r="V127" i="23"/>
  <c r="S127" i="23"/>
  <c r="P127" i="23"/>
  <c r="M127" i="23"/>
  <c r="J127" i="23"/>
  <c r="G127" i="23"/>
  <c r="D127" i="23"/>
  <c r="A127" i="23"/>
  <c r="AD127" i="23" s="1"/>
  <c r="AG126" i="23"/>
  <c r="AB126" i="23" s="1"/>
  <c r="Z126" i="23" s="1"/>
  <c r="AD126" i="23"/>
  <c r="V126" i="23"/>
  <c r="S126" i="23"/>
  <c r="P126" i="23"/>
  <c r="M126" i="23"/>
  <c r="J126" i="23"/>
  <c r="G126" i="23"/>
  <c r="D126" i="23"/>
  <c r="A126" i="23"/>
  <c r="AG125" i="23"/>
  <c r="AB125" i="23" s="1"/>
  <c r="Z125" i="23" s="1"/>
  <c r="V125" i="23"/>
  <c r="S125" i="23"/>
  <c r="P125" i="23"/>
  <c r="M125" i="23"/>
  <c r="T125" i="23" s="1"/>
  <c r="J125" i="23"/>
  <c r="G125" i="23"/>
  <c r="D125" i="23"/>
  <c r="A125" i="23"/>
  <c r="AD125" i="23" s="1"/>
  <c r="AG124" i="23"/>
  <c r="AB124" i="23" s="1"/>
  <c r="Z124" i="23" s="1"/>
  <c r="V124" i="23"/>
  <c r="S124" i="23"/>
  <c r="P124" i="23"/>
  <c r="M124" i="23"/>
  <c r="J124" i="23"/>
  <c r="G124" i="23"/>
  <c r="D124" i="23"/>
  <c r="A124" i="23"/>
  <c r="AD124" i="23" s="1"/>
  <c r="AG123" i="23"/>
  <c r="AB123" i="23" s="1"/>
  <c r="Z123" i="23" s="1"/>
  <c r="AD123" i="23"/>
  <c r="V123" i="23"/>
  <c r="S123" i="23"/>
  <c r="P123" i="23"/>
  <c r="M123" i="23"/>
  <c r="J123" i="23"/>
  <c r="G123" i="23"/>
  <c r="D123" i="23"/>
  <c r="A123" i="23"/>
  <c r="AG122" i="23"/>
  <c r="AB122" i="23" s="1"/>
  <c r="Z122" i="23" s="1"/>
  <c r="V122" i="23"/>
  <c r="S122" i="23"/>
  <c r="P122" i="23"/>
  <c r="M122" i="23"/>
  <c r="J122" i="23"/>
  <c r="G122" i="23"/>
  <c r="D122" i="23"/>
  <c r="T122" i="23" s="1"/>
  <c r="A122" i="23"/>
  <c r="AD122" i="23" s="1"/>
  <c r="AG121" i="23"/>
  <c r="AB121" i="23" s="1"/>
  <c r="Z121" i="23" s="1"/>
  <c r="V121" i="23"/>
  <c r="S121" i="23"/>
  <c r="P121" i="23"/>
  <c r="M121" i="23"/>
  <c r="J121" i="23"/>
  <c r="G121" i="23"/>
  <c r="D121" i="23"/>
  <c r="A121" i="23"/>
  <c r="AD121" i="23" s="1"/>
  <c r="AG120" i="23"/>
  <c r="AB120" i="23"/>
  <c r="Z120" i="23" s="1"/>
  <c r="V120" i="23"/>
  <c r="S120" i="23"/>
  <c r="P120" i="23"/>
  <c r="M120" i="23"/>
  <c r="J120" i="23"/>
  <c r="G120" i="23"/>
  <c r="D120" i="23"/>
  <c r="T120" i="23" s="1"/>
  <c r="A120" i="23"/>
  <c r="AD120" i="23" s="1"/>
  <c r="AG119" i="23"/>
  <c r="AB119" i="23" s="1"/>
  <c r="Z119" i="23" s="1"/>
  <c r="AD119" i="23"/>
  <c r="V119" i="23"/>
  <c r="S119" i="23"/>
  <c r="P119" i="23"/>
  <c r="M119" i="23"/>
  <c r="J119" i="23"/>
  <c r="G119" i="23"/>
  <c r="D119" i="23"/>
  <c r="A119" i="23"/>
  <c r="AG118" i="23"/>
  <c r="AB118" i="23"/>
  <c r="Z118" i="23" s="1"/>
  <c r="V118" i="23"/>
  <c r="S118" i="23"/>
  <c r="P118" i="23"/>
  <c r="M118" i="23"/>
  <c r="J118" i="23"/>
  <c r="G118" i="23"/>
  <c r="D118" i="23"/>
  <c r="A118" i="23"/>
  <c r="AD118" i="23" s="1"/>
  <c r="AG117" i="23"/>
  <c r="AB117" i="23" s="1"/>
  <c r="Z117" i="23" s="1"/>
  <c r="V117" i="23"/>
  <c r="S117" i="23"/>
  <c r="P117" i="23"/>
  <c r="M117" i="23"/>
  <c r="J117" i="23"/>
  <c r="G117" i="23"/>
  <c r="D117" i="23"/>
  <c r="A117" i="23"/>
  <c r="AD117" i="23" s="1"/>
  <c r="AG116" i="23"/>
  <c r="AB116" i="23" s="1"/>
  <c r="Z116" i="23" s="1"/>
  <c r="AD116" i="23"/>
  <c r="V116" i="23"/>
  <c r="S116" i="23"/>
  <c r="P116" i="23"/>
  <c r="M116" i="23"/>
  <c r="J116" i="23"/>
  <c r="G116" i="23"/>
  <c r="D116" i="23"/>
  <c r="A116" i="23"/>
  <c r="AG115" i="23"/>
  <c r="AB115" i="23" s="1"/>
  <c r="Z115" i="23" s="1"/>
  <c r="V115" i="23"/>
  <c r="S115" i="23"/>
  <c r="P115" i="23"/>
  <c r="M115" i="23"/>
  <c r="J115" i="23"/>
  <c r="G115" i="23"/>
  <c r="D115" i="23"/>
  <c r="A115" i="23"/>
  <c r="AD115" i="23" s="1"/>
  <c r="AG114" i="23"/>
  <c r="AB114" i="23" s="1"/>
  <c r="Z114" i="23" s="1"/>
  <c r="AD114" i="23"/>
  <c r="V114" i="23"/>
  <c r="S114" i="23"/>
  <c r="P114" i="23"/>
  <c r="M114" i="23"/>
  <c r="J114" i="23"/>
  <c r="G114" i="23"/>
  <c r="D114" i="23"/>
  <c r="A114" i="23"/>
  <c r="AG113" i="23"/>
  <c r="AB113" i="23" s="1"/>
  <c r="Z113" i="23" s="1"/>
  <c r="V113" i="23"/>
  <c r="S113" i="23"/>
  <c r="P113" i="23"/>
  <c r="M113" i="23"/>
  <c r="J113" i="23"/>
  <c r="G113" i="23"/>
  <c r="D113" i="23"/>
  <c r="A113" i="23"/>
  <c r="AD113" i="23" s="1"/>
  <c r="AG112" i="23"/>
  <c r="AB112" i="23" s="1"/>
  <c r="Z112" i="23" s="1"/>
  <c r="V112" i="23"/>
  <c r="S112" i="23"/>
  <c r="P112" i="23"/>
  <c r="M112" i="23"/>
  <c r="J112" i="23"/>
  <c r="G112" i="23"/>
  <c r="D112" i="23"/>
  <c r="A112" i="23"/>
  <c r="AD112" i="23" s="1"/>
  <c r="AG111" i="23"/>
  <c r="AB111" i="23" s="1"/>
  <c r="Z111" i="23" s="1"/>
  <c r="AD111" i="23"/>
  <c r="V111" i="23"/>
  <c r="S111" i="23"/>
  <c r="P111" i="23"/>
  <c r="M111" i="23"/>
  <c r="J111" i="23"/>
  <c r="G111" i="23"/>
  <c r="D111" i="23"/>
  <c r="A111" i="23"/>
  <c r="AG110" i="23"/>
  <c r="AB110" i="23" s="1"/>
  <c r="Z110" i="23" s="1"/>
  <c r="V110" i="23"/>
  <c r="S110" i="23"/>
  <c r="P110" i="23"/>
  <c r="M110" i="23"/>
  <c r="J110" i="23"/>
  <c r="G110" i="23"/>
  <c r="D110" i="23"/>
  <c r="A110" i="23"/>
  <c r="AD110" i="23" s="1"/>
  <c r="AG109" i="23"/>
  <c r="AB109" i="23" s="1"/>
  <c r="Z109" i="23" s="1"/>
  <c r="V109" i="23"/>
  <c r="V136" i="23" s="1"/>
  <c r="S109" i="23"/>
  <c r="P109" i="23"/>
  <c r="M109" i="23"/>
  <c r="J109" i="23"/>
  <c r="G109" i="23"/>
  <c r="D109" i="23"/>
  <c r="A109" i="23"/>
  <c r="AD109" i="23" s="1"/>
  <c r="AG108" i="23"/>
  <c r="AB108" i="23" s="1"/>
  <c r="Z108" i="23" s="1"/>
  <c r="Z136" i="23" s="1"/>
  <c r="AD108" i="23"/>
  <c r="V108" i="23"/>
  <c r="S108" i="23"/>
  <c r="P108" i="23"/>
  <c r="M108" i="23"/>
  <c r="J108" i="23"/>
  <c r="J136" i="23" s="1"/>
  <c r="G108" i="23"/>
  <c r="D108" i="23"/>
  <c r="A108" i="23"/>
  <c r="B94" i="23"/>
  <c r="C93" i="23"/>
  <c r="D93" i="23" s="1"/>
  <c r="E93" i="23" s="1"/>
  <c r="F93" i="23" s="1"/>
  <c r="A93" i="23"/>
  <c r="C92" i="23"/>
  <c r="A92" i="23"/>
  <c r="D91" i="23"/>
  <c r="E91" i="23" s="1"/>
  <c r="F91" i="23" s="1"/>
  <c r="C91" i="23"/>
  <c r="A91" i="23"/>
  <c r="C90" i="23"/>
  <c r="D90" i="23" s="1"/>
  <c r="E90" i="23" s="1"/>
  <c r="F90" i="23" s="1"/>
  <c r="A90" i="23"/>
  <c r="C89" i="23"/>
  <c r="D89" i="23" s="1"/>
  <c r="E89" i="23" s="1"/>
  <c r="F89" i="23" s="1"/>
  <c r="A89" i="23"/>
  <c r="C88" i="23"/>
  <c r="D88" i="23" s="1"/>
  <c r="E88" i="23" s="1"/>
  <c r="F88" i="23" s="1"/>
  <c r="A88" i="23"/>
  <c r="C87" i="23"/>
  <c r="A87" i="23"/>
  <c r="C86" i="23"/>
  <c r="D86" i="23" s="1"/>
  <c r="E86" i="23" s="1"/>
  <c r="F86" i="23" s="1"/>
  <c r="A86" i="23"/>
  <c r="C85" i="23"/>
  <c r="D85" i="23" s="1"/>
  <c r="E85" i="23" s="1"/>
  <c r="F85" i="23" s="1"/>
  <c r="A85" i="23"/>
  <c r="C84" i="23"/>
  <c r="A84" i="23"/>
  <c r="C83" i="23"/>
  <c r="D83" i="23" s="1"/>
  <c r="E83" i="23" s="1"/>
  <c r="F83" i="23" s="1"/>
  <c r="A83" i="23"/>
  <c r="C82" i="23"/>
  <c r="D82" i="23" s="1"/>
  <c r="E82" i="23" s="1"/>
  <c r="F82" i="23" s="1"/>
  <c r="A82" i="23"/>
  <c r="C81" i="23"/>
  <c r="D81" i="23" s="1"/>
  <c r="E81" i="23" s="1"/>
  <c r="F81" i="23" s="1"/>
  <c r="A81" i="23"/>
  <c r="C80" i="23"/>
  <c r="D80" i="23" s="1"/>
  <c r="E80" i="23" s="1"/>
  <c r="F80" i="23" s="1"/>
  <c r="A80" i="23"/>
  <c r="C79" i="23"/>
  <c r="D79" i="23" s="1"/>
  <c r="E79" i="23" s="1"/>
  <c r="A79" i="23"/>
  <c r="C78" i="23"/>
  <c r="D78" i="23" s="1"/>
  <c r="E78" i="23" s="1"/>
  <c r="F78" i="23" s="1"/>
  <c r="A78" i="23"/>
  <c r="C77" i="23"/>
  <c r="D77" i="23" s="1"/>
  <c r="E77" i="23" s="1"/>
  <c r="F77" i="23" s="1"/>
  <c r="A77" i="23"/>
  <c r="C76" i="23"/>
  <c r="A76" i="23"/>
  <c r="D75" i="23"/>
  <c r="E75" i="23" s="1"/>
  <c r="F75" i="23" s="1"/>
  <c r="C75" i="23"/>
  <c r="A75" i="23"/>
  <c r="C74" i="23"/>
  <c r="D74" i="23" s="1"/>
  <c r="E74" i="23" s="1"/>
  <c r="F74" i="23" s="1"/>
  <c r="A74" i="23"/>
  <c r="C73" i="23"/>
  <c r="D73" i="23" s="1"/>
  <c r="E73" i="23" s="1"/>
  <c r="F73" i="23" s="1"/>
  <c r="A73" i="23"/>
  <c r="C72" i="23"/>
  <c r="D72" i="23" s="1"/>
  <c r="E72" i="23" s="1"/>
  <c r="F72" i="23" s="1"/>
  <c r="A72" i="23"/>
  <c r="C71" i="23"/>
  <c r="A71" i="23"/>
  <c r="D70" i="23"/>
  <c r="E70" i="23" s="1"/>
  <c r="F70" i="23" s="1"/>
  <c r="C70" i="23"/>
  <c r="A70" i="23"/>
  <c r="C69" i="23"/>
  <c r="D69" i="23" s="1"/>
  <c r="E69" i="23" s="1"/>
  <c r="F69" i="23" s="1"/>
  <c r="A69" i="23"/>
  <c r="C68" i="23"/>
  <c r="A68" i="23"/>
  <c r="D67" i="23"/>
  <c r="E67" i="23" s="1"/>
  <c r="F67" i="23" s="1"/>
  <c r="C67" i="23"/>
  <c r="A67" i="23"/>
  <c r="C66" i="23"/>
  <c r="D66" i="23" s="1"/>
  <c r="A66" i="23"/>
  <c r="B64" i="23"/>
  <c r="B61" i="23"/>
  <c r="A60" i="23"/>
  <c r="A59" i="23"/>
  <c r="B56" i="23"/>
  <c r="D52" i="23"/>
  <c r="C52" i="23"/>
  <c r="E51" i="23"/>
  <c r="E50" i="23"/>
  <c r="E49" i="23"/>
  <c r="E48" i="23"/>
  <c r="E47" i="23"/>
  <c r="A47" i="23"/>
  <c r="E46" i="23"/>
  <c r="E45" i="23"/>
  <c r="E44" i="23"/>
  <c r="A44" i="23"/>
  <c r="E43" i="23"/>
  <c r="E52" i="23" s="1"/>
  <c r="A43" i="23"/>
  <c r="C35" i="23"/>
  <c r="B34" i="23"/>
  <c r="D34" i="23" s="1"/>
  <c r="B33" i="23"/>
  <c r="D33" i="23" s="1"/>
  <c r="D32" i="23"/>
  <c r="D31" i="23"/>
  <c r="D30" i="23"/>
  <c r="B29" i="23"/>
  <c r="D29" i="23" s="1"/>
  <c r="D28" i="23"/>
  <c r="D27" i="23"/>
  <c r="D26" i="23"/>
  <c r="B25" i="23"/>
  <c r="B35" i="23" s="1"/>
  <c r="D24" i="23"/>
  <c r="D23" i="23"/>
  <c r="D22" i="23"/>
  <c r="D21" i="23"/>
  <c r="B20" i="23"/>
  <c r="D20" i="23" s="1"/>
  <c r="D19" i="23"/>
  <c r="D18" i="23"/>
  <c r="D17" i="23"/>
  <c r="D16" i="23"/>
  <c r="D15" i="23"/>
  <c r="D14" i="23"/>
  <c r="D13" i="23"/>
  <c r="D12" i="23"/>
  <c r="D11" i="23"/>
  <c r="D10" i="23"/>
  <c r="D9" i="23"/>
  <c r="D8" i="23"/>
  <c r="D7" i="23"/>
  <c r="G136" i="23" l="1"/>
  <c r="T117" i="23"/>
  <c r="T123" i="23"/>
  <c r="T126" i="23"/>
  <c r="T129" i="23"/>
  <c r="T109" i="23"/>
  <c r="T112" i="23"/>
  <c r="T115" i="23"/>
  <c r="S136" i="23"/>
  <c r="T118" i="23"/>
  <c r="T121" i="23"/>
  <c r="T131" i="23"/>
  <c r="T134" i="23"/>
  <c r="T110" i="23"/>
  <c r="T124" i="23"/>
  <c r="T127" i="23"/>
  <c r="T128" i="23"/>
  <c r="M136" i="23"/>
  <c r="T116" i="23"/>
  <c r="T113" i="23"/>
  <c r="D136" i="23"/>
  <c r="P136" i="23"/>
  <c r="T111" i="23"/>
  <c r="T114" i="23"/>
  <c r="T119" i="23"/>
  <c r="T132" i="23"/>
  <c r="T135" i="23"/>
  <c r="AB136" i="23"/>
  <c r="AO108" i="23" s="1"/>
  <c r="AO111" i="23" s="1"/>
  <c r="F76" i="23"/>
  <c r="D35" i="23"/>
  <c r="F71" i="23"/>
  <c r="F87" i="23"/>
  <c r="D71" i="23"/>
  <c r="E71" i="23" s="1"/>
  <c r="D87" i="23"/>
  <c r="E87" i="23" s="1"/>
  <c r="D68" i="23"/>
  <c r="E68" i="23" s="1"/>
  <c r="F68" i="23" s="1"/>
  <c r="D84" i="23"/>
  <c r="E84" i="23" s="1"/>
  <c r="F84" i="23" s="1"/>
  <c r="AG136" i="23"/>
  <c r="F79" i="23"/>
  <c r="C94" i="23"/>
  <c r="E66" i="23"/>
  <c r="D25" i="23"/>
  <c r="D76" i="23"/>
  <c r="E76" i="23" s="1"/>
  <c r="D92" i="23"/>
  <c r="E92" i="23" s="1"/>
  <c r="F92" i="23" s="1"/>
  <c r="T108" i="23"/>
  <c r="F13" i="6"/>
  <c r="T136" i="23" l="1"/>
  <c r="D94" i="23"/>
  <c r="AO114" i="23"/>
  <c r="AO115" i="23" s="1"/>
  <c r="AO117" i="23" s="1"/>
  <c r="E94" i="23"/>
  <c r="F66" i="23"/>
  <c r="F94" i="23"/>
  <c r="G10" i="6"/>
  <c r="G11" i="6"/>
  <c r="G12" i="6"/>
  <c r="G13" i="6"/>
  <c r="G14" i="6"/>
  <c r="G15" i="6"/>
  <c r="H15" i="6" s="1"/>
  <c r="G17" i="7" s="1"/>
  <c r="F32" i="6"/>
  <c r="G32" i="6"/>
  <c r="H32" i="6" s="1"/>
  <c r="F33" i="6"/>
  <c r="G33" i="6"/>
  <c r="F34" i="6"/>
  <c r="H34" i="6" s="1"/>
  <c r="G32" i="7" s="1"/>
  <c r="G34" i="6"/>
  <c r="F35" i="6"/>
  <c r="G35" i="6"/>
  <c r="E19" i="6"/>
  <c r="F19" i="6" s="1"/>
  <c r="G21" i="7" s="1"/>
  <c r="E20" i="6"/>
  <c r="F20" i="6" s="1"/>
  <c r="G22" i="7" s="1"/>
  <c r="E21" i="6"/>
  <c r="F21" i="6" s="1"/>
  <c r="G23" i="7" s="1"/>
  <c r="E22" i="6"/>
  <c r="F22" i="6" s="1"/>
  <c r="G24" i="7" s="1"/>
  <c r="E23" i="6"/>
  <c r="F23" i="6" s="1"/>
  <c r="G25" i="7" s="1"/>
  <c r="E24" i="6"/>
  <c r="F24" i="6" s="1"/>
  <c r="G26" i="7" s="1"/>
  <c r="B34" i="5"/>
  <c r="E39" i="6"/>
  <c r="F39" i="6"/>
  <c r="G37" i="7" s="1"/>
  <c r="B35" i="5"/>
  <c r="E40" i="6"/>
  <c r="F40" i="6"/>
  <c r="G38" i="7" s="1"/>
  <c r="B37" i="5"/>
  <c r="E41" i="6" s="1"/>
  <c r="F41" i="6" s="1"/>
  <c r="B38" i="5"/>
  <c r="E42" i="6"/>
  <c r="F42" i="6"/>
  <c r="G40" i="7"/>
  <c r="G71" i="7"/>
  <c r="D102" i="3"/>
  <c r="G75" i="7" s="1"/>
  <c r="G96" i="7"/>
  <c r="G105" i="7"/>
  <c r="G115" i="7"/>
  <c r="G119" i="7"/>
  <c r="G128" i="7"/>
  <c r="G141" i="7"/>
  <c r="C126" i="3"/>
  <c r="C130" i="3"/>
  <c r="E40" i="3"/>
  <c r="E30" i="5"/>
  <c r="E29" i="5"/>
  <c r="C61" i="15"/>
  <c r="A38" i="5"/>
  <c r="A37" i="5"/>
  <c r="A35" i="5"/>
  <c r="A34" i="5"/>
  <c r="A31" i="5"/>
  <c r="A30" i="5"/>
  <c r="A29" i="5"/>
  <c r="B3" i="8"/>
  <c r="A28" i="18"/>
  <c r="A25" i="18"/>
  <c r="A22" i="18"/>
  <c r="A19" i="18"/>
  <c r="A16" i="18"/>
  <c r="A13" i="18"/>
  <c r="A10" i="18"/>
  <c r="E77" i="22"/>
  <c r="D77" i="22"/>
  <c r="E64" i="3"/>
  <c r="D64" i="3"/>
  <c r="D104" i="3"/>
  <c r="G81" i="7" s="1"/>
  <c r="E104" i="3" s="1"/>
  <c r="E103" i="3"/>
  <c r="D103" i="3" s="1"/>
  <c r="F103" i="3" s="1"/>
  <c r="C106" i="15"/>
  <c r="B1" i="15"/>
  <c r="B2" i="7"/>
  <c r="B7" i="12"/>
  <c r="B5" i="6"/>
  <c r="D8" i="5"/>
  <c r="E40" i="4"/>
  <c r="C119" i="3" s="1"/>
  <c r="C8" i="4"/>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3" i="15"/>
  <c r="F115" i="15"/>
  <c r="F116" i="15"/>
  <c r="F117" i="15"/>
  <c r="F118" i="15"/>
  <c r="D119" i="15"/>
  <c r="E119" i="15"/>
  <c r="F125" i="15"/>
  <c r="F128" i="15"/>
  <c r="F129" i="15"/>
  <c r="F130" i="15"/>
  <c r="F131" i="15"/>
  <c r="F132" i="15"/>
  <c r="F133" i="15"/>
  <c r="F134" i="15"/>
  <c r="F135" i="15"/>
  <c r="F136" i="15"/>
  <c r="E137" i="15"/>
  <c r="B53" i="22"/>
  <c r="D75" i="22"/>
  <c r="E75" i="22"/>
  <c r="E65" i="22"/>
  <c r="E66" i="22"/>
  <c r="E70" i="22" s="1"/>
  <c r="D65" i="22"/>
  <c r="D67" i="22" s="1"/>
  <c r="D59" i="22"/>
  <c r="D60" i="22" s="1"/>
  <c r="B52" i="22"/>
  <c r="E33" i="22"/>
  <c r="E34" i="22"/>
  <c r="D33" i="22"/>
  <c r="D34" i="22"/>
  <c r="D26" i="22"/>
  <c r="D38" i="22"/>
  <c r="C38" i="22"/>
  <c r="E15" i="22"/>
  <c r="D15" i="22"/>
  <c r="B46" i="22"/>
  <c r="E26" i="22"/>
  <c r="E59" i="22"/>
  <c r="E61" i="22" s="1"/>
  <c r="E38" i="22"/>
  <c r="B29" i="5"/>
  <c r="G14" i="5"/>
  <c r="H14" i="5" s="1"/>
  <c r="G255" i="7"/>
  <c r="E15" i="8"/>
  <c r="E36" i="6"/>
  <c r="D36" i="6"/>
  <c r="F36" i="6" s="1"/>
  <c r="D43" i="6"/>
  <c r="D26" i="6"/>
  <c r="E17" i="6"/>
  <c r="G20" i="5"/>
  <c r="H20" i="5" s="1"/>
  <c r="G19" i="5"/>
  <c r="H19" i="5"/>
  <c r="G22" i="5"/>
  <c r="H22" i="5"/>
  <c r="G23" i="5"/>
  <c r="H23" i="5"/>
  <c r="E20" i="12"/>
  <c r="E29" i="12"/>
  <c r="E30" i="12"/>
  <c r="G195" i="7"/>
  <c r="D21" i="8"/>
  <c r="E68" i="3"/>
  <c r="C94" i="12"/>
  <c r="B31" i="5"/>
  <c r="H31" i="5" s="1"/>
  <c r="I31" i="5" s="1"/>
  <c r="B30" i="5"/>
  <c r="G16" i="5"/>
  <c r="H16" i="5"/>
  <c r="G15" i="5"/>
  <c r="H15" i="5" s="1"/>
  <c r="D96" i="8"/>
  <c r="C96" i="8"/>
  <c r="B69" i="6"/>
  <c r="C93" i="3" s="1"/>
  <c r="E19" i="4"/>
  <c r="E69" i="3"/>
  <c r="E70" i="3"/>
  <c r="E71" i="3"/>
  <c r="E72" i="3"/>
  <c r="E73" i="3"/>
  <c r="B21" i="8"/>
  <c r="C21" i="8"/>
  <c r="E10" i="8"/>
  <c r="E12" i="8"/>
  <c r="E16" i="8"/>
  <c r="E17" i="8"/>
  <c r="E18" i="8"/>
  <c r="E19" i="8"/>
  <c r="E20" i="8"/>
  <c r="E36" i="4"/>
  <c r="C127" i="3" s="1"/>
  <c r="D33" i="4"/>
  <c r="B60" i="6"/>
  <c r="E26" i="4"/>
  <c r="E16" i="4"/>
  <c r="G271" i="7"/>
  <c r="G275" i="7" s="1"/>
  <c r="C120" i="3" s="1"/>
  <c r="E67" i="22"/>
  <c r="E69" i="22" s="1"/>
  <c r="D61" i="22"/>
  <c r="E14" i="8"/>
  <c r="G239" i="7"/>
  <c r="E68" i="22"/>
  <c r="D66" i="22"/>
  <c r="D70" i="22" s="1"/>
  <c r="H35" i="6"/>
  <c r="G33" i="7" s="1"/>
  <c r="H33" i="6"/>
  <c r="H34" i="5"/>
  <c r="I34" i="5"/>
  <c r="H38" i="5"/>
  <c r="I38" i="5" s="1"/>
  <c r="H37" i="5"/>
  <c r="I37" i="5" s="1"/>
  <c r="G31" i="7"/>
  <c r="D17" i="6"/>
  <c r="F12" i="6"/>
  <c r="H12" i="6" s="1"/>
  <c r="G14" i="7" s="1"/>
  <c r="F11" i="6"/>
  <c r="E45" i="3" s="1"/>
  <c r="F14" i="6"/>
  <c r="E48" i="3" s="1"/>
  <c r="H13" i="6"/>
  <c r="G15" i="7" s="1"/>
  <c r="F15" i="6"/>
  <c r="E49" i="3" s="1"/>
  <c r="F10" i="6"/>
  <c r="E47" i="3"/>
  <c r="C113" i="3" l="1"/>
  <c r="C111" i="3"/>
  <c r="C95" i="3"/>
  <c r="C92" i="3"/>
  <c r="B70" i="6"/>
  <c r="C96" i="3"/>
  <c r="H14" i="6"/>
  <c r="G16" i="7" s="1"/>
  <c r="H11" i="6"/>
  <c r="G13" i="7" s="1"/>
  <c r="F17" i="6"/>
  <c r="E50" i="3" s="1"/>
  <c r="E44" i="3"/>
  <c r="H10" i="6"/>
  <c r="G12" i="7" s="1"/>
  <c r="H30" i="5"/>
  <c r="I30" i="5" s="1"/>
  <c r="H36" i="6"/>
  <c r="G30" i="7"/>
  <c r="G35" i="7" s="1"/>
  <c r="G39" i="7"/>
  <c r="F43" i="6"/>
  <c r="H44" i="6" s="1"/>
  <c r="D68" i="22"/>
  <c r="D69" i="22"/>
  <c r="F119" i="15"/>
  <c r="E62" i="22"/>
  <c r="E21" i="8"/>
  <c r="E46" i="3"/>
  <c r="E60" i="22"/>
  <c r="D62" i="22"/>
  <c r="G257" i="7"/>
  <c r="E25" i="4" s="1"/>
  <c r="E28" i="4" s="1"/>
  <c r="E74" i="3"/>
  <c r="H29" i="5"/>
  <c r="I29" i="5" s="1"/>
  <c r="C112" i="3"/>
  <c r="C121" i="3"/>
  <c r="G28" i="7"/>
  <c r="G42" i="7"/>
  <c r="F26" i="6"/>
  <c r="D127" i="15"/>
  <c r="C128" i="3"/>
  <c r="C132" i="3" s="1"/>
  <c r="E121" i="15"/>
  <c r="F103" i="15"/>
  <c r="E139" i="15"/>
  <c r="D121" i="15"/>
  <c r="F121" i="15" s="1"/>
  <c r="F57" i="15"/>
  <c r="D68" i="3"/>
  <c r="D44" i="3" s="1"/>
  <c r="D48" i="3"/>
  <c r="F48" i="3" s="1"/>
  <c r="G48" i="3" s="1"/>
  <c r="D73" i="3"/>
  <c r="F73" i="3" s="1"/>
  <c r="G73" i="3" s="1"/>
  <c r="D69" i="3"/>
  <c r="D45" i="3" s="1"/>
  <c r="F45" i="3" s="1"/>
  <c r="G45" i="3" s="1"/>
  <c r="D72" i="3"/>
  <c r="F72" i="3" s="1"/>
  <c r="G72" i="3" s="1"/>
  <c r="D70" i="3"/>
  <c r="F70" i="3" s="1"/>
  <c r="G70" i="3" s="1"/>
  <c r="D71" i="3"/>
  <c r="F71" i="3" s="1"/>
  <c r="G71" i="3" s="1"/>
  <c r="D49" i="3"/>
  <c r="F49" i="3" s="1"/>
  <c r="G49" i="3" s="1"/>
  <c r="D47" i="3"/>
  <c r="F47" i="3" s="1"/>
  <c r="G47" i="3" s="1"/>
  <c r="D46" i="3"/>
  <c r="F104" i="3"/>
  <c r="G85" i="7"/>
  <c r="E102" i="3"/>
  <c r="D106" i="3"/>
  <c r="F46" i="3" l="1"/>
  <c r="G46" i="3" s="1"/>
  <c r="G19" i="7"/>
  <c r="G44" i="7" s="1"/>
  <c r="G63" i="7" s="1"/>
  <c r="G143" i="7" s="1"/>
  <c r="E18" i="4" s="1"/>
  <c r="E21" i="4" s="1"/>
  <c r="E23" i="4" s="1"/>
  <c r="E44" i="4" s="1"/>
  <c r="C17" i="3" s="1"/>
  <c r="H17" i="6"/>
  <c r="H27" i="6" s="1"/>
  <c r="H46" i="6" s="1"/>
  <c r="D126" i="15"/>
  <c r="C144" i="3" s="1"/>
  <c r="F126" i="15"/>
  <c r="C114" i="3"/>
  <c r="C139" i="3"/>
  <c r="F127" i="15"/>
  <c r="C147" i="3"/>
  <c r="D50" i="3"/>
  <c r="F50" i="3" s="1"/>
  <c r="G50" i="3" s="1"/>
  <c r="D74" i="3"/>
  <c r="F74" i="3" s="1"/>
  <c r="G74" i="3" s="1"/>
  <c r="F68" i="3"/>
  <c r="G68" i="3" s="1"/>
  <c r="F44" i="3"/>
  <c r="G44" i="3" s="1"/>
  <c r="F69" i="3"/>
  <c r="G69" i="3" s="1"/>
  <c r="E106" i="3"/>
  <c r="F102" i="3"/>
  <c r="F106" i="3" s="1"/>
  <c r="C34" i="3" l="1"/>
  <c r="D137" i="15"/>
  <c r="D139" i="15" s="1"/>
  <c r="C137" i="3"/>
  <c r="F137" i="15"/>
  <c r="F139" i="15" s="1"/>
  <c r="D32" i="4"/>
  <c r="E35" i="4" s="1"/>
  <c r="E38" i="4" s="1"/>
  <c r="C153" i="3" l="1"/>
</calcChain>
</file>

<file path=xl/comments1.xml><?xml version="1.0" encoding="utf-8"?>
<comments xmlns="http://schemas.openxmlformats.org/spreadsheetml/2006/main">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text>
        <r>
          <rPr>
            <b/>
            <sz val="9"/>
            <color indexed="81"/>
            <rFont val="Tahoma"/>
            <family val="2"/>
          </rPr>
          <t>Nieto, Eve:</t>
        </r>
        <r>
          <rPr>
            <sz val="9"/>
            <color indexed="81"/>
            <rFont val="Tahoma"/>
            <family val="2"/>
          </rPr>
          <t xml:space="preserve">
GAA APPROPRIATION 129.
EN 5.5.21
</t>
        </r>
      </text>
    </comment>
    <comment ref="B6" authorId="1" shapeId="0">
      <text>
        <r>
          <rPr>
            <sz val="10"/>
            <rFont val="Arial"/>
            <family val="2"/>
          </rPr>
          <t xml:space="preserve">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Subtracted vetos.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A40" authorId="0" shapeId="0">
      <text>
        <r>
          <rPr>
            <b/>
            <sz val="9"/>
            <color indexed="81"/>
            <rFont val="Tahoma"/>
            <family val="2"/>
          </rPr>
          <t>Nieto, Eve:</t>
        </r>
        <r>
          <rPr>
            <sz val="9"/>
            <color indexed="81"/>
            <rFont val="Tahoma"/>
            <family val="2"/>
          </rPr>
          <t xml:space="preserve">
GAA APPROPRIATION 129 RECURRING AND NON RECURRING FUNDS.
EN 5.5.21
</t>
        </r>
      </text>
    </comment>
    <comment ref="B42" authorId="2"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57" authorId="3" shapeId="0">
      <text>
        <r>
          <rPr>
            <sz val="10"/>
            <rFont val="Arial"/>
            <family val="2"/>
          </rPr>
          <t xml:space="preserve">Source: General Appropriations Act, Specific Appropriation 31.
en 5.5.21
</t>
        </r>
      </text>
    </comment>
    <comment ref="B65" authorId="4" shapeId="0">
      <text>
        <r>
          <rPr>
            <sz val="10"/>
            <rFont val="Arial"/>
            <family val="2"/>
          </rPr>
          <t xml:space="preserve">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65" authorId="5" shapeId="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3" authorId="6" shapeId="0">
      <text>
        <r>
          <rPr>
            <sz val="10"/>
            <rFont val="Arial"/>
            <family val="2"/>
          </rPr>
          <t xml:space="preserve">Note the FTE data is one fiscal year behind.
If the FTE-2A Report has not been approved by the Enrollment Estimating Conference, use the approved FTE-1A or 1B Report.
Source:   J:\Finance\Fees\1 Archive Fees\2020-21\Fee Calculator 2020-21(Using 2020-21 FTE-2A) DRS FALL FEES 032321.xlsx
Use the 2020-21 Tab to complete this chart.
</t>
        </r>
      </text>
    </comment>
    <comment ref="T104" authorId="7"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07" authorId="8" shapeId="0">
      <text>
        <r>
          <rPr>
            <sz val="10"/>
            <rFont val="Arial"/>
            <family val="2"/>
          </rPr>
          <t xml:space="preserve">Comment:
    Upper Level FTE Resident, Cell Q93
</t>
        </r>
      </text>
    </comment>
    <comment ref="E107" authorId="9" shapeId="0">
      <text>
        <r>
          <rPr>
            <sz val="10"/>
            <rFont val="Arial"/>
            <family val="2"/>
          </rPr>
          <t>Comment:
    A &amp; P Resident, Cell B93
Resident A &amp; P Fee Paying FTE does not include non-Florida Resident FTE and Dual Enrolled FTE.</t>
        </r>
      </text>
    </comment>
    <comment ref="F107" authorId="10" shapeId="0">
      <text>
        <r>
          <rPr>
            <sz val="10"/>
            <rFont val="Arial"/>
            <family val="2"/>
          </rPr>
          <t>[Threaded comment]
Comment:
    A &amp; P FTE Estimated Non-Florida Resident, Cell P54</t>
        </r>
      </text>
    </comment>
    <comment ref="H107" authorId="11" shapeId="0">
      <text>
        <r>
          <rPr>
            <sz val="10"/>
            <rFont val="Arial"/>
            <family val="2"/>
          </rPr>
          <t xml:space="preserve">
Comment:
    PSV FTE Resident, Cell E93
Resident PSV Fee Paying FTE does not include non-Florida Resident FTE and Dual Enrolled FTE. 
</t>
        </r>
      </text>
    </comment>
    <comment ref="I107" authorId="12" shapeId="0">
      <text>
        <r>
          <rPr>
            <sz val="10"/>
            <rFont val="Arial"/>
            <family val="2"/>
          </rPr>
          <t xml:space="preserve">Comment:
    PSV Estimated Non-Florida Resident FTE, Cell Q54
</t>
        </r>
      </text>
    </comment>
    <comment ref="K107" authorId="13" shapeId="0">
      <text>
        <r>
          <rPr>
            <sz val="10"/>
            <rFont val="Arial"/>
            <family val="2"/>
          </rPr>
          <t xml:space="preserve">Comment:
    DEV ED FTE Resident, Cell H93
Resident DEV ED Fee Paying FTE does not include non-Florida Resident FTE.
</t>
        </r>
      </text>
    </comment>
    <comment ref="L107" authorId="14" shapeId="0">
      <text>
        <r>
          <rPr>
            <sz val="10"/>
            <rFont val="Arial"/>
            <family val="2"/>
          </rPr>
          <t>Comment:
    DEV ED Estimated Non-Florida Resident FTE, Cell T54</t>
        </r>
      </text>
    </comment>
    <comment ref="N107" authorId="15" shapeId="0">
      <text>
        <r>
          <rPr>
            <sz val="10"/>
            <rFont val="Arial"/>
            <family val="2"/>
          </rPr>
          <t>Comment:
    EPI FTE Resident, Cell K93. 
Resident EPI Fee Paying FTE does not include non-Florida Resident FTE.</t>
        </r>
      </text>
    </comment>
    <comment ref="O107" authorId="16" shapeId="0">
      <text>
        <r>
          <rPr>
            <sz val="10"/>
            <rFont val="Arial"/>
            <family val="2"/>
          </rPr>
          <t>Comment:
    EPI Estimated Non-Florida Resident FTE, Cell W54</t>
        </r>
      </text>
    </comment>
    <comment ref="Q107" authorId="17" shapeId="0">
      <text>
        <r>
          <rPr>
            <sz val="10"/>
            <rFont val="Arial"/>
            <family val="2"/>
          </rPr>
          <t xml:space="preserve">Comment:
    CCATD FTE Resident, Cell N93. 
Resident CCATD Paying FTE does not include non-Florida Resident FTE and Dual Enrolled FTE. </t>
        </r>
      </text>
    </comment>
    <comment ref="R107" authorId="18" shapeId="0">
      <text>
        <r>
          <rPr>
            <sz val="10"/>
            <rFont val="Arial"/>
            <family val="2"/>
          </rPr>
          <t>Comment:
    CCATD FTE Estimated Non-Florida Resident FTE, Cell R54.</t>
        </r>
      </text>
    </comment>
    <comment ref="W107" authorId="19" shapeId="0">
      <text>
        <r>
          <rPr>
            <sz val="10"/>
            <rFont val="Arial"/>
            <family val="2"/>
          </rPr>
          <t>Comment:
    Voc Prep FTE Estimated Non-Florida Resident, Cell U54</t>
        </r>
      </text>
    </comment>
    <comment ref="X107" authorId="20" shapeId="0">
      <text>
        <r>
          <rPr>
            <sz val="10"/>
            <rFont val="Arial"/>
            <family val="2"/>
          </rPr>
          <t xml:space="preserve">Comment:
    Voc. Prep FTE Total, Cell G54
</t>
        </r>
      </text>
    </comment>
    <comment ref="Z107" authorId="0" shapeId="0">
      <text>
        <r>
          <rPr>
            <b/>
            <sz val="9"/>
            <color indexed="81"/>
            <rFont val="Tahoma"/>
            <family val="2"/>
          </rPr>
          <t>Nieto, Eve:</t>
        </r>
        <r>
          <rPr>
            <sz val="9"/>
            <color indexed="81"/>
            <rFont val="Tahoma"/>
            <family val="2"/>
          </rPr>
          <t xml:space="preserve">
Pulls from columns AE and AF.</t>
        </r>
      </text>
    </comment>
    <comment ref="AA107" authorId="21" shapeId="0">
      <text>
        <r>
          <rPr>
            <sz val="10"/>
            <rFont val="Arial"/>
            <family val="2"/>
          </rPr>
          <t>Comment:
    Adult FTE Estimated Non-Florida Resident, Cell V54</t>
        </r>
      </text>
    </comment>
    <comment ref="AE107" authorId="22" shapeId="0">
      <text>
        <r>
          <rPr>
            <sz val="10"/>
            <rFont val="Arial"/>
            <family val="2"/>
          </rPr>
          <t xml:space="preserve">Comment:
    Adult Basic FTE, Cell H54
 </t>
        </r>
      </text>
    </comment>
    <comment ref="AF107" authorId="23" shapeId="0">
      <text>
        <r>
          <rPr>
            <sz val="10"/>
            <rFont val="Arial"/>
            <family val="2"/>
          </rPr>
          <t>Comment:
    Adult Second. &amp; GED  FTE, Cell I54</t>
        </r>
      </text>
    </comment>
    <comment ref="AO109" authorId="24" shapeId="0">
      <text>
        <r>
          <rPr>
            <sz val="10"/>
            <rFont val="Arial"/>
            <family val="2"/>
          </rPr>
          <t>Comment:
    Fee Calculator File:   This amount is from the Estimated Duel Enrolled FTE Total Column, Cell AF82.</t>
        </r>
      </text>
    </comment>
    <comment ref="AO110" authorId="25" shapeId="0">
      <text>
        <r>
          <rPr>
            <sz val="10"/>
            <rFont val="Arial"/>
            <family val="2"/>
          </rPr>
          <t xml:space="preserve">Comment:
    Fee Calculator File: Apprent FTE Total, Cell E82 minus the Estimated Dual Enrolled Apprent FTE, Cell AE82. 
</t>
        </r>
      </text>
    </comment>
    <comment ref="AO113" authorId="26"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family val="2"/>
          </rPr>
          <t>Comment:
    SELECT COLLEGE NAME 
THE COLLEGE NAME SHOULD AUTO-POPULATE IN EXHIBITS A, B, C, C2, D, E AND G.</t>
        </r>
      </text>
    </comment>
    <comment ref="D43" authorId="1" shapeId="0">
      <text>
        <r>
          <rPr>
            <sz val="10"/>
            <rFont val="Arial"/>
            <family val="2"/>
          </rPr>
          <t>Comment:
    VLOOKUP Tab - Cells A108 to S141</t>
        </r>
      </text>
    </comment>
    <comment ref="G43" authorId="2" shapeId="0">
      <text>
        <r>
          <rPr>
            <sz val="10"/>
            <rFont val="Arial"/>
            <family val="2"/>
          </rPr>
          <t>Comment:
    Please enter an explanation if the difference is greater than 3% in any area in the Explanation box below.</t>
        </r>
      </text>
    </comment>
    <comment ref="D67" authorId="3" shapeId="0">
      <text>
        <r>
          <rPr>
            <sz val="10"/>
            <rFont val="Arial"/>
            <family val="2"/>
          </rPr>
          <t xml:space="preserve">Comment:
    VLOOKUP Tab - Cells 
A108 to S141
</t>
        </r>
      </text>
    </comment>
    <comment ref="G67" authorId="4" shapeId="0">
      <text>
        <r>
          <rPr>
            <sz val="10"/>
            <rFont val="Arial"/>
            <family val="2"/>
          </rPr>
          <t xml:space="preserve">Comment:
    Please enter an explanation if the difference is greater than 5% in any area in the Explanation box below.
</t>
        </r>
      </text>
    </comment>
    <comment ref="C121" authorId="5"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family val="2"/>
          </rPr>
          <t xml:space="preserve">Comment:
    The amount for the FCSPF Performance Based Incentives Funds should be entered in (General Ledger Code 42150)
</t>
        </r>
      </text>
    </comment>
    <comment ref="G80" authorId="1" shapeId="0">
      <text>
        <r>
          <rPr>
            <sz val="10"/>
            <rFont val="Arial"/>
            <family val="2"/>
          </rPr>
          <t xml:space="preserve">Comment:
    The amount for the FCSPF Performance Based Incentives Funds for Industry Certifications should be entered in (General Ledger Code 42510 not General Ledger Code 42150)
</t>
        </r>
      </text>
    </comment>
    <comment ref="G273" authorId="2" shapeId="0">
      <text>
        <r>
          <rPr>
            <sz val="10"/>
            <rFont val="Arial"/>
            <family val="2"/>
          </rPr>
          <t xml:space="preserve">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Nieto, Eve</author>
    <author>tc={C439E12A-A2BD-4B44-9D99-3AC88DA9BEC8}</author>
    <author>tc={4955338F-1120-4255-A902-FC2660602E1E}</author>
  </authors>
  <commentList>
    <comment ref="D3" authorId="0" shapeId="0">
      <text>
        <r>
          <rPr>
            <b/>
            <sz val="12"/>
            <color indexed="81"/>
            <rFont val="Tahoma"/>
            <family val="2"/>
          </rPr>
          <t>Nieto, Eve:</t>
        </r>
        <r>
          <rPr>
            <sz val="12"/>
            <color indexed="81"/>
            <rFont val="Tahoma"/>
            <family val="2"/>
          </rPr>
          <t xml:space="preserve">
Comment:
    General Appropriations Act - Prior to the disbursement of funds in Specific Appropriations 129,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6" authorId="1" shapeId="0">
      <text>
        <r>
          <rPr>
            <sz val="12"/>
            <color indexed="81"/>
            <rFont val="Arial"/>
            <family val="2"/>
          </rPr>
          <t xml:space="preserve">Comment:
    This cell will automatically populate. Should agree with Exhibit C, Cell H10. Resident and nonresident students pay resident tuition.
</t>
        </r>
      </text>
    </comment>
    <comment ref="D127" authorId="2" shapeId="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<sst xmlns="http://schemas.openxmlformats.org/spreadsheetml/2006/main" count="1311" uniqueCount="793">
  <si>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</si>
  <si>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</si>
  <si>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</si>
  <si>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</si>
  <si>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</si>
  <si>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</si>
  <si>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</si>
  <si>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</si>
  <si>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</si>
  <si>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</si>
  <si>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</si>
  <si>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</si>
  <si>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</si>
  <si>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</si>
  <si>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</si>
  <si>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</si>
  <si>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</si>
  <si>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</si>
  <si>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</si>
  <si>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</si>
  <si>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</si>
  <si>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</si>
  <si>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</si>
  <si>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</si>
  <si>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</si>
  <si>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</si>
  <si>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</si>
  <si>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</si>
  <si>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</si>
  <si>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</si>
  <si>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</si>
  <si>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</si>
  <si>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</si>
  <si>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</si>
  <si>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</si>
  <si>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</si>
  <si>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</si>
  <si>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</si>
  <si>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</si>
  <si>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</si>
  <si>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</si>
  <si>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</si>
  <si>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</si>
  <si>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</si>
  <si>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</si>
  <si>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</si>
  <si>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</si>
  <si>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</si>
  <si>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</si>
  <si>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</si>
  <si>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</si>
  <si>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</si>
  <si>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</si>
  <si>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</si>
  <si>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</si>
  <si>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</si>
  <si>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</si>
  <si>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</si>
  <si>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 xml:space="preserve">Critical Nursing and Health Sciences </t>
  </si>
  <si>
    <t>Regional Transportation Training Center</t>
  </si>
  <si>
    <t xml:space="preserve">STEM Stackable </t>
  </si>
  <si>
    <t xml:space="preserve">Tallahassee Community College </t>
  </si>
  <si>
    <t>Nursing Program Expansion</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</si>
  <si>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</si>
  <si>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</si>
  <si>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</si>
  <si>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</si>
  <si>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</si>
  <si>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</si>
  <si>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</si>
  <si>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</si>
  <si>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</si>
  <si>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</si>
  <si>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</si>
  <si>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</si>
  <si>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</si>
  <si>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</si>
  <si>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</si>
  <si>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</si>
  <si>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</si>
  <si>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</si>
  <si>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</si>
  <si>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</si>
  <si>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</si>
  <si>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</si>
  <si>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</si>
  <si>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</si>
  <si>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</si>
  <si>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</si>
  <si>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</si>
  <si>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</si>
  <si>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</si>
  <si>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</si>
  <si>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</si>
  <si>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</si>
  <si>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</si>
  <si>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</si>
  <si>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</si>
  <si>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</si>
  <si>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</si>
  <si>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</si>
  <si>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</si>
  <si>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</si>
  <si>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</si>
  <si>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</si>
  <si>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</si>
  <si>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</si>
  <si>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</si>
  <si>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</si>
  <si>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</si>
  <si>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</si>
  <si>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</si>
  <si>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</si>
  <si>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</si>
  <si>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</si>
  <si>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</si>
  <si>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</si>
  <si>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</si>
  <si>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</si>
  <si>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</si>
  <si>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</si>
  <si>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</si>
  <si>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</si>
  <si>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</si>
  <si>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</si>
  <si>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</si>
  <si>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</si>
  <si>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</si>
  <si>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</si>
  <si>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</si>
  <si>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</si>
  <si>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</si>
  <si>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</si>
  <si>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</si>
  <si>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</si>
  <si>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</si>
  <si>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</si>
  <si>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</si>
  <si>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</si>
  <si>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</si>
  <si>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</si>
  <si>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</si>
  <si>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</si>
  <si>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</si>
  <si>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</si>
  <si>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</si>
  <si>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</si>
  <si>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</si>
  <si>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</si>
  <si>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</si>
  <si>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</si>
  <si>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</si>
  <si>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</si>
  <si>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</si>
  <si>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</si>
  <si>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</si>
  <si>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</si>
  <si>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</si>
  <si>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</si>
  <si>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</si>
  <si>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</si>
  <si>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</si>
  <si>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</si>
  <si>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</si>
  <si>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</si>
  <si>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</si>
  <si>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</si>
  <si>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</si>
  <si>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</si>
  <si>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</si>
  <si>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</si>
  <si>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</si>
  <si>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</si>
  <si>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</si>
  <si>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</si>
  <si>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</si>
  <si>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</si>
  <si>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</si>
  <si>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</si>
  <si>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</si>
  <si>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</si>
  <si>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</si>
  <si>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</si>
  <si>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</si>
  <si>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</si>
  <si>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</si>
  <si>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</si>
  <si>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</si>
  <si>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</si>
  <si>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</si>
  <si>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</si>
  <si>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</si>
  <si>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</si>
  <si>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</si>
  <si>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</si>
  <si>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</si>
  <si>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</si>
  <si>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</si>
  <si>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</si>
  <si>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</si>
  <si>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</si>
  <si>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</si>
  <si>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</si>
  <si>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</si>
  <si>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</si>
  <si>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</si>
  <si>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</si>
  <si>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</si>
  <si>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</si>
  <si>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</si>
  <si>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</si>
  <si>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</si>
  <si>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</si>
  <si>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</si>
  <si>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</si>
  <si>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</si>
  <si>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</si>
  <si>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</si>
  <si>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</si>
  <si>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</si>
  <si>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</si>
  <si>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</si>
  <si>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</si>
  <si>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</si>
  <si>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</si>
  <si>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</si>
  <si>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</si>
  <si>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</si>
  <si>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</si>
  <si>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</si>
  <si>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</si>
  <si>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</si>
  <si>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</si>
  <si>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</si>
  <si>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</si>
  <si>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</si>
  <si>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</si>
  <si>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</si>
  <si>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</si>
  <si>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</si>
  <si>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</si>
  <si>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</si>
  <si>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</si>
  <si>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</si>
  <si>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</si>
  <si>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</si>
  <si>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</si>
  <si>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</si>
  <si>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</si>
  <si>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</si>
  <si>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</si>
  <si>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</si>
  <si>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</si>
  <si>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</si>
  <si>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</si>
  <si>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</si>
  <si>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</si>
  <si>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</si>
  <si>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</si>
  <si>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</si>
  <si>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</si>
  <si>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</si>
  <si>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</si>
  <si>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</si>
  <si>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</si>
  <si>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</si>
  <si>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</si>
  <si>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</si>
  <si>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</si>
  <si>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</si>
  <si>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</si>
  <si>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</si>
  <si>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</si>
  <si>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</si>
  <si>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</si>
  <si>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</si>
  <si>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</si>
  <si>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</si>
  <si>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</si>
  <si>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</si>
  <si>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</si>
  <si>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</si>
  <si>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</si>
  <si>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</si>
  <si>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</si>
  <si>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</si>
  <si>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</si>
  <si>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</si>
  <si>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</si>
  <si>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</si>
  <si>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</si>
  <si>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</si>
  <si>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</si>
  <si>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</si>
  <si>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</si>
  <si>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</si>
  <si>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</si>
  <si>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</si>
  <si>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</si>
  <si>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</si>
  <si>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</si>
  <si>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</si>
  <si>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</si>
  <si>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</si>
  <si>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</si>
  <si>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</si>
  <si>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</si>
  <si>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</si>
  <si>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</si>
  <si>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</si>
  <si>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</si>
  <si>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</si>
  <si>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</si>
  <si>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</si>
  <si>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</si>
  <si>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</si>
  <si>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</si>
  <si>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</si>
  <si>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</si>
  <si>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</si>
  <si>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</si>
  <si>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</si>
  <si>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</si>
  <si>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</si>
  <si>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</si>
  <si>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</si>
  <si>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</si>
  <si>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</si>
  <si>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</si>
  <si>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</si>
  <si>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</si>
  <si>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</si>
  <si>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</si>
  <si>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</si>
  <si>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</si>
  <si>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</si>
  <si>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</si>
  <si>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</si>
  <si>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</si>
  <si>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</si>
  <si>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</si>
  <si>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</si>
  <si>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</si>
  <si>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</si>
  <si>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</si>
  <si>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</si>
  <si>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</si>
  <si>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</si>
  <si>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</si>
  <si>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</si>
  <si>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</si>
  <si>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</si>
  <si>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</si>
  <si>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</si>
  <si>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</si>
  <si>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</si>
  <si>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</si>
  <si>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</si>
  <si>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</si>
  <si>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</si>
  <si>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</si>
  <si>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</si>
  <si>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</si>
  <si>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</si>
  <si>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</si>
  <si>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</si>
  <si>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</si>
  <si>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</si>
  <si>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</si>
  <si>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</si>
  <si>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</si>
  <si>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</si>
  <si>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</si>
  <si>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</si>
  <si>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</si>
  <si>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</si>
  <si>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</si>
  <si>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</si>
  <si>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</si>
  <si>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</si>
  <si>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</si>
  <si>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</si>
  <si>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</si>
  <si>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</si>
  <si>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</si>
  <si>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</si>
  <si>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</si>
  <si>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</si>
  <si>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</si>
  <si>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</si>
  <si>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</si>
  <si>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</si>
  <si>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</si>
  <si>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</si>
  <si>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</si>
  <si>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</si>
  <si>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</si>
  <si>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</si>
  <si>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</si>
  <si>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</si>
  <si>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</si>
  <si>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</si>
  <si>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</si>
  <si>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</si>
  <si>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</si>
  <si>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</si>
  <si>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</si>
  <si>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</si>
  <si>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</si>
  <si>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</si>
  <si>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</si>
  <si>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</si>
  <si>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</si>
  <si>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</si>
  <si>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</si>
  <si>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</si>
  <si>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</si>
  <si>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</si>
  <si>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</si>
  <si>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</si>
  <si>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</si>
  <si>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</si>
  <si>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</si>
  <si>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</si>
  <si>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</si>
  <si>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</si>
  <si>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</si>
  <si>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</si>
  <si>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</si>
  <si>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</si>
  <si>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</si>
  <si>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</si>
  <si>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</si>
  <si>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</si>
  <si>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</si>
  <si>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</si>
  <si>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</si>
  <si>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</si>
  <si>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</si>
  <si>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</si>
  <si>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</si>
  <si>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</si>
  <si>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</si>
  <si>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</si>
  <si>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</si>
  <si>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</si>
  <si>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</si>
  <si>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</si>
  <si>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</si>
  <si>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</si>
  <si>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</si>
  <si>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</si>
  <si>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</si>
  <si>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</si>
  <si>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</si>
  <si>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</si>
  <si>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</si>
  <si>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</si>
  <si>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</si>
  <si>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</si>
  <si>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</si>
  <si>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</si>
  <si>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</si>
  <si>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</si>
  <si>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</si>
  <si>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</si>
  <si>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</si>
  <si>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</si>
  <si>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</si>
  <si>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</si>
  <si>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</si>
  <si>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</si>
  <si>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</si>
  <si>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</si>
  <si>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</si>
  <si>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</si>
  <si>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</si>
  <si>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</si>
  <si>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</si>
  <si>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</si>
  <si>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</si>
  <si>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</si>
  <si>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</si>
  <si>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</si>
  <si>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</si>
  <si>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</si>
  <si>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</si>
  <si>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</si>
  <si>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</si>
  <si>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</si>
  <si>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</si>
  <si>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</si>
  <si>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</si>
  <si>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</si>
  <si>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</si>
  <si>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</si>
  <si>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</si>
  <si>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</si>
  <si>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</si>
  <si>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</si>
  <si>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</si>
  <si>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</si>
  <si>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</si>
  <si>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</si>
  <si>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</si>
  <si>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</si>
  <si>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</si>
  <si>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</si>
  <si>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</si>
  <si>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</si>
  <si>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</si>
  <si>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</si>
  <si>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</si>
  <si>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</si>
  <si>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</si>
  <si>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</si>
  <si>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</si>
  <si>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</si>
  <si>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</si>
  <si>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</si>
  <si>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</si>
  <si>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</si>
  <si>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</si>
  <si>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</si>
  <si>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</si>
  <si>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</si>
  <si>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</si>
  <si>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</si>
  <si>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</si>
  <si>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</si>
  <si>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</si>
  <si>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</si>
  <si>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</si>
  <si>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</si>
  <si>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</si>
  <si>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</si>
  <si>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</si>
  <si>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</si>
  <si>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</si>
  <si>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</si>
  <si>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</si>
  <si>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</si>
  <si>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</si>
  <si>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</si>
  <si>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</si>
  <si>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</si>
  <si>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</si>
  <si>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</si>
  <si>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</si>
  <si>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</si>
  <si>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</si>
  <si>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</si>
  <si>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</si>
  <si>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</si>
  <si>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</si>
  <si>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</si>
  <si>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</si>
  <si>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</si>
  <si>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</si>
  <si>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</si>
  <si>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</si>
  <si>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</si>
  <si>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</si>
  <si>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</si>
  <si>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</si>
  <si>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</si>
  <si>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</si>
  <si>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</si>
  <si>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</si>
  <si>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</si>
  <si>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</si>
  <si>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</si>
  <si>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</si>
  <si>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</si>
  <si>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</si>
  <si>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</si>
  <si>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</si>
  <si>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</si>
  <si>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</si>
  <si>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</si>
  <si>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</si>
  <si>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</si>
  <si>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</si>
  <si>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</si>
  <si>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</si>
  <si>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</si>
  <si>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</si>
  <si>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</si>
  <si>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</si>
  <si>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</si>
  <si>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</si>
  <si>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</si>
  <si>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</si>
  <si>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</si>
  <si>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</si>
  <si>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</si>
  <si>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</si>
  <si>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</si>
  <si>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</si>
  <si>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</si>
  <si>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</si>
  <si>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</si>
  <si>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</si>
  <si>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</si>
  <si>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</si>
  <si>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</si>
  <si>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</si>
  <si>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</si>
  <si>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</si>
  <si>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</si>
  <si>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</si>
  <si>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</si>
  <si>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</si>
  <si>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</si>
  <si>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</si>
  <si>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</si>
  <si>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</si>
  <si>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</si>
  <si>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</si>
  <si>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</si>
  <si>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</si>
  <si>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</si>
  <si>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</si>
  <si>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</si>
  <si>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</si>
  <si>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</si>
  <si>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</si>
  <si>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</si>
  <si>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</si>
  <si>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</si>
  <si>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</si>
  <si>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</si>
  <si>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</si>
  <si>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</si>
  <si>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</si>
  <si>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</si>
  <si>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</si>
  <si>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</si>
  <si>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</si>
  <si>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</si>
  <si>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</si>
  <si>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</si>
  <si>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</si>
  <si>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</si>
  <si>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</si>
  <si>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</si>
  <si>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</si>
  <si>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</si>
  <si>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</si>
  <si>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</si>
  <si>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</si>
  <si>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</si>
  <si>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</si>
  <si>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</si>
  <si>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</si>
  <si>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</si>
  <si>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</si>
  <si>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</si>
  <si>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</si>
  <si>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</si>
  <si>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</si>
  <si>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</si>
  <si>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</si>
  <si>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</si>
  <si>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</si>
  <si>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</si>
  <si>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</si>
  <si>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</si>
  <si>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</si>
  <si>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</si>
  <si>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</si>
  <si>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</si>
  <si>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</si>
  <si>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</si>
  <si>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</si>
  <si>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</si>
  <si>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</si>
  <si>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</si>
  <si>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</si>
  <si>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</si>
  <si>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</si>
  <si>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</si>
  <si>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</si>
  <si>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</si>
  <si>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</si>
  <si>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</si>
  <si>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</si>
  <si>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</si>
  <si>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</si>
  <si>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</si>
  <si>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</si>
  <si>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</si>
  <si>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</si>
  <si>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</si>
  <si>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</si>
  <si>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</si>
  <si>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</si>
  <si>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</si>
  <si>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</si>
  <si>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</si>
  <si>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</si>
  <si>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</si>
  <si>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</si>
  <si>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</si>
  <si>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</si>
  <si>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</si>
  <si>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</si>
  <si>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</si>
  <si>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</si>
  <si>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</si>
  <si>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</si>
  <si>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</si>
  <si>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</si>
  <si>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</si>
  <si>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</si>
  <si>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</si>
  <si>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</si>
  <si>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</si>
  <si>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</si>
  <si>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</si>
  <si>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</si>
  <si>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</si>
  <si>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</si>
  <si>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</si>
  <si>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</si>
  <si>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</si>
  <si>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</si>
  <si>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</si>
  <si>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</si>
  <si>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</si>
  <si>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</si>
  <si>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</si>
  <si>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</si>
  <si>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</si>
  <si>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</si>
  <si>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</si>
  <si>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</si>
  <si>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t>WORKFORCE/WAGES/GRANT PARTICIPANT SUPPORT COSTS</t>
  </si>
  <si>
    <t xml:space="preserve"> FALL 2021-22 COLLEGE OPERATING BUDGET CHECK SHEET</t>
  </si>
  <si>
    <t>2021-22</t>
  </si>
  <si>
    <r>
      <t xml:space="preserve">(Beginning Compensated Absence Reserve) - </t>
    </r>
    <r>
      <rPr>
        <b/>
        <sz val="16"/>
        <rFont val="Calibri"/>
        <family val="2"/>
        <scheme val="minor"/>
      </rPr>
      <t>As of July 1, 2021</t>
    </r>
  </si>
  <si>
    <r>
      <t xml:space="preserve">(Ending Compensated Absence Reserve) - </t>
    </r>
    <r>
      <rPr>
        <b/>
        <sz val="16"/>
        <rFont val="Calibri"/>
        <family val="2"/>
        <scheme val="minor"/>
      </rPr>
      <t>Estimated at June 30, 2022</t>
    </r>
  </si>
  <si>
    <r>
      <t xml:space="preserve">Estimated Unencumbered Fund Balance - </t>
    </r>
    <r>
      <rPr>
        <b/>
        <sz val="16"/>
        <rFont val="Calibri"/>
        <family val="2"/>
        <scheme val="minor"/>
      </rPr>
      <t>As of June 30, 2021</t>
    </r>
  </si>
  <si>
    <r>
      <t xml:space="preserve">Total Available Fund Balance </t>
    </r>
    <r>
      <rPr>
        <b/>
        <sz val="16"/>
        <color indexed="8"/>
        <rFont val="Calibri"/>
        <family val="2"/>
        <scheme val="minor"/>
      </rPr>
      <t xml:space="preserve">June 30, 2021 </t>
    </r>
    <r>
      <rPr>
        <sz val="16"/>
        <color indexed="8"/>
        <rFont val="Calibri"/>
        <family val="2"/>
        <scheme val="minor"/>
      </rPr>
      <t>minus Encumbrances</t>
    </r>
  </si>
  <si>
    <t xml:space="preserve">Estimated Unencumbered Fund Balance as of June 30, 2021 (populated from EXHIBIT A) is equal to Total Available Fund Balance as of June 30, 2022 minus the Encumbered Reserves (populated from EXHIBIT D). </t>
  </si>
  <si>
    <t xml:space="preserve">2The 2021-22 General Revenue appropriations does not include the $30,000,000 appropriated for Performance Based Incentive Funding.  </t>
  </si>
  <si>
    <t>2021-22 SPECIAL PROJECTS</t>
  </si>
  <si>
    <t>2021-22 FINANCIAL AID FEES ADDITIONAL 2% CALCULATION</t>
  </si>
  <si>
    <t xml:space="preserve"> TOTAL 2021-22 PROJECTED TUITION AND OUT-OF-STATE FEE REVENUE</t>
  </si>
  <si>
    <t>Law Enforcement Simulation</t>
  </si>
  <si>
    <t>Construction Trades Program</t>
  </si>
  <si>
    <t>Seminole State College</t>
  </si>
  <si>
    <t>ADULTS WITH DISABILITIES APPROPRIATION  (PROVIDED FOR INFORMATION PURPOSES ONLY APPROPRIATION 31)</t>
  </si>
  <si>
    <t>DIVISION'S ESTIMATES BASED ON THE 2020-21 FTE-2A REPORT</t>
  </si>
  <si>
    <t>Total 2020-21 Estimated FTE-2A Report</t>
  </si>
  <si>
    <t>This amount should agree with 2020-21 FTE-2A Report (Cell L82)</t>
  </si>
  <si>
    <t>Date Updated:   05.5.21;    BY:  EN</t>
  </si>
  <si>
    <t>UPDATE THE CELLS HIGHLIGHTED IN YELLOW USING THE SOURCE DATA AT:  J:\Finance\Fees\2020-21\Fee Calculator 2020-21 (Using 2020-21 PROJECTIONS) DRS FALL FEES 032321.xlsx</t>
  </si>
  <si>
    <t>2021-22 COLLEGE OPERATING BUDGET</t>
  </si>
  <si>
    <t xml:space="preserve"> FISCAL YEAR 2021-22</t>
  </si>
  <si>
    <t>BEGINNING FUND BALANCE - JULY 1, 2021:</t>
  </si>
  <si>
    <r>
      <t xml:space="preserve">TOTAL RESERVE AND UNENCUMBERED FUND BALANCE - </t>
    </r>
    <r>
      <rPr>
        <b/>
        <sz val="16"/>
        <rFont val="Calibri"/>
        <family val="2"/>
        <scheme val="minor"/>
      </rPr>
      <t>JULY 1, 2021</t>
    </r>
  </si>
  <si>
    <t>ESTIMATED FUND BALANCE - JUNE 30, 2022:</t>
  </si>
  <si>
    <r>
      <t xml:space="preserve">TOTAL ESTIMATED RESERVE AND UNENCUMBERED FUND BALANCE - </t>
    </r>
    <r>
      <rPr>
        <b/>
        <sz val="16"/>
        <rFont val="Calibri"/>
        <family val="2"/>
        <scheme val="minor"/>
      </rPr>
      <t>JUNE 30, 2022</t>
    </r>
  </si>
  <si>
    <r>
      <t xml:space="preserve">LESS ESTIMATED AMOUNT EXPECTED TO BE FINANCED IN FUTURE YEARS (GLC 30800) - </t>
    </r>
    <r>
      <rPr>
        <b/>
        <sz val="16"/>
        <rFont val="Calibri"/>
        <family val="2"/>
        <scheme val="minor"/>
      </rPr>
      <t>JUNE 30, 2022</t>
    </r>
  </si>
  <si>
    <t>TOTAL ESTIMATED FUND BALANCE - JUNE 30, 2022</t>
  </si>
  <si>
    <r>
      <t>ESTIMATED UNENCUMBERED FUND BALANCE -</t>
    </r>
    <r>
      <rPr>
        <b/>
        <sz val="16"/>
        <rFont val="Calibri"/>
        <family val="2"/>
        <scheme val="minor"/>
      </rPr>
      <t xml:space="preserve"> JUNE 30, 2022</t>
    </r>
  </si>
  <si>
    <t>AS OF JUNE 30 2022, TO ESTIMATED FUNDS AVAILABLE</t>
  </si>
  <si>
    <r>
      <t xml:space="preserve">ESTIMATED AFR FUND BALANCE - </t>
    </r>
    <r>
      <rPr>
        <b/>
        <sz val="16"/>
        <rFont val="Calibri"/>
        <family val="2"/>
        <scheme val="minor"/>
      </rPr>
      <t>JUNE 30, 2021</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</si>
  <si>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2021-22 STUDENT TUITION AND FEE RATES AND BLOCK TUITION </t>
  </si>
  <si>
    <t>Note:   The 2021-22 Fee Audit and Discretionary Fee calculations are provided at the end of the Workbook, to assist the college in verifying that the tuition and fee rates are in compliance with sections 1009.22 and 1009.23, Florida Statutes.</t>
  </si>
  <si>
    <t>FALL 2021-22 BUDGET WORKSHEET FOR ESTIMATED STUDENT TUITION AND TRANSFERS</t>
  </si>
  <si>
    <t>FOR THE FISCAL YEAR 2021-22</t>
  </si>
  <si>
    <t>FISCAL YEAR 2021-22</t>
  </si>
  <si>
    <r>
      <t xml:space="preserve">   4.   OTHER GRANTS OR REVENUES </t>
    </r>
    <r>
      <rPr>
        <b/>
        <sz val="18"/>
        <color theme="1"/>
        <rFont val="Calibri"/>
        <family val="2"/>
        <scheme val="minor"/>
      </rPr>
      <t>(PLEASE PROVIDE A BRIEF EXPLANATION IN THE SPACE BELOW FOR ITEM #4)**</t>
    </r>
  </si>
  <si>
    <t>FALL 2021-22 TUITION INCREASED BY 0%</t>
  </si>
  <si>
    <t>2021-22 MAXIMUM DISCRETIONARY FEE PERCENTAGES</t>
  </si>
  <si>
    <t xml:space="preserve">2021-22 INSTRUCTIONS </t>
  </si>
  <si>
    <t xml:space="preserve">2021-22 BASE BUDGET </t>
  </si>
  <si>
    <r>
      <t xml:space="preserve">The completed board-approved operating budget forms should be submitted electronically to collegereporting@fldoe.org, </t>
    </r>
    <r>
      <rPr>
        <b/>
        <u/>
        <sz val="16"/>
        <rFont val="Calibri"/>
        <family val="2"/>
        <scheme val="minor"/>
      </rPr>
      <t>no later than Wednesday, June 30, 2021, to receive the scheduled disbursement of funds on or around July 16, 2021</t>
    </r>
    <r>
      <rPr>
        <b/>
        <sz val="16"/>
        <rFont val="Calibri"/>
        <family val="2"/>
        <scheme val="minor"/>
      </rPr>
      <t>. However, if the board-approved operating budget is submitted after June 30,  but before Tuesday, July 20th, the college will  receive the July disbursement on or around Friday, July 30, 2021.</t>
    </r>
  </si>
  <si>
    <t xml:space="preserve">Save the FTE-2A Report at: </t>
  </si>
  <si>
    <t>LEASE PAYMENTS (LONG-TERM/ASSET=&gt;$5,000)</t>
  </si>
  <si>
    <t>LEASE PAYMENTS (LONG-TERM/ASSET&lt;$5,000)</t>
  </si>
  <si>
    <t>Date Updated:   06.02.21    BY:  EN</t>
  </si>
  <si>
    <t>Updated: 6.2.21 EN</t>
  </si>
  <si>
    <t xml:space="preserve">Simulation City  All State Campus </t>
  </si>
  <si>
    <t>Fund 1</t>
  </si>
  <si>
    <t xml:space="preserve">                 Fund 1</t>
  </si>
  <si>
    <t xml:space="preserve">             Fund 7 </t>
  </si>
  <si>
    <t>Workforce Tarpon Springs</t>
  </si>
  <si>
    <t>Fund 3</t>
  </si>
  <si>
    <t xml:space="preserve">   Student direct costs, instruction &amp; instiutional support</t>
  </si>
  <si>
    <t xml:space="preserve">St. Petersburg College uses a conservative approach when assessing expenditures to the projected tuition revenue, but the strategic plan and FTE goal focus on enrollment growth. As per the FTE Enrollment Plan, SPC follows the Division of Florida Colleges’ approach for predicting Funded FTE. This year the State has also asked us to project FTE counts for the next 3 years. In addition, the estimating conference (The State FTE 2) in February provided their suggested outcomes using a new growth formula that focuses on all colleges regaining a large percentage of their enrollment loss during the 2021-22 academic year. For SPC, The State denoted a 4.16% increase in FTE.  Enrollment within our PSAV programs also remains consistent with the prior year’s enrollment trend with an increase in our Law Enforcement FTE. During the Spring 2021 College Prep and A&amp;P, lower-division categories denoted an increase of 6.8% of new students compared to the prior Spring. Among the factors to take into consideration is the advancement of COVID -19 vaccination and the reopening of campuses during this upcoming year. No mathematical modeling can predict the lingering effect of COVID-19 for the FY 2021-22. However, our Institutional Research team predicts an increase of about .89% of our 2020-21 actual FTE.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</si>
</sst>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sz val="12"/>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cellStyleXfs>
  <cellXfs count="1320">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0" fontId="76" fillId="0" borderId="0" xfId="0" applyFont="1" applyFill="1" applyAlignment="1" applyProtection="1">
      <alignment horizontal="left"/>
    </xf>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7" xfId="0" applyFont="1" applyFill="1" applyBorder="1" applyProtection="1"/>
    <xf numFmtId="3" fontId="157" fillId="32" borderId="71" xfId="0" applyNumberFormat="1" applyFont="1" applyFill="1" applyBorder="1" applyProtection="1">
      <protection locked="0"/>
    </xf>
    <xf numFmtId="3" fontId="157" fillId="32" borderId="70"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5"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50" xfId="0" applyNumberFormat="1" applyFont="1" applyFill="1" applyBorder="1" applyProtection="1">
      <protection locked="0"/>
    </xf>
    <xf numFmtId="168" fontId="158"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7"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0" fontId="74" fillId="0" borderId="188" xfId="0" applyFont="1" applyBorder="1" applyAlignment="1" applyProtection="1">
      <alignment horizontal="center" wrapText="1"/>
    </xf>
    <xf numFmtId="3" fontId="160"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68" fillId="0" borderId="0" xfId="0" applyFont="1" applyFill="1" applyProtection="1"/>
    <xf numFmtId="0" fontId="72" fillId="32" borderId="23" xfId="495" applyFont="1" applyFill="1" applyBorder="1" applyAlignment="1">
      <alignment horizontal="center" wrapText="1"/>
    </xf>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69" fillId="31" borderId="0" xfId="0" applyFont="1" applyFill="1" applyBorder="1" applyAlignment="1" applyProtection="1">
      <alignment horizontal="center"/>
    </xf>
    <xf numFmtId="4" fontId="19" fillId="31" borderId="0" xfId="0" applyNumberFormat="1" applyFont="1" applyFill="1"/>
    <xf numFmtId="166" fontId="72" fillId="70" borderId="193" xfId="0" applyNumberFormat="1" applyFont="1" applyFill="1" applyBorder="1"/>
    <xf numFmtId="166" fontId="72" fillId="32" borderId="193" xfId="0" applyNumberFormat="1" applyFont="1" applyFill="1" applyBorder="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7" fillId="33" borderId="203"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0" fontId="100" fillId="0" borderId="210"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5" fontId="108" fillId="75" borderId="217" xfId="0" applyNumberFormat="1" applyFont="1" applyFill="1" applyBorder="1" applyProtection="1"/>
    <xf numFmtId="0" fontId="72" fillId="0" borderId="224" xfId="0" applyFont="1" applyFill="1" applyBorder="1"/>
    <xf numFmtId="0" fontId="72" fillId="0" borderId="225" xfId="0" applyFont="1" applyFill="1" applyBorder="1"/>
    <xf numFmtId="0" fontId="72" fillId="78" borderId="225" xfId="0" applyFont="1" applyFill="1" applyBorder="1"/>
    <xf numFmtId="171" fontId="72" fillId="32" borderId="207" xfId="182" applyNumberFormat="1" applyFont="1" applyFill="1" applyBorder="1"/>
    <xf numFmtId="171" fontId="72" fillId="32" borderId="227" xfId="182" applyNumberFormat="1" applyFont="1" applyFill="1" applyBorder="1"/>
    <xf numFmtId="171" fontId="72" fillId="32" borderId="228" xfId="182" applyNumberFormat="1" applyFont="1" applyFill="1" applyBorder="1"/>
    <xf numFmtId="166" fontId="72" fillId="36" borderId="229" xfId="0" applyNumberFormat="1" applyFont="1" applyFill="1" applyBorder="1"/>
    <xf numFmtId="0" fontId="76" fillId="0" borderId="230" xfId="0" quotePrefix="1" applyFont="1" applyBorder="1" applyAlignment="1" applyProtection="1">
      <alignment horizontal="left"/>
    </xf>
    <xf numFmtId="3" fontId="78" fillId="0" borderId="231" xfId="181" quotePrefix="1" applyNumberFormat="1" applyFont="1" applyFill="1" applyBorder="1" applyAlignment="1" applyProtection="1"/>
    <xf numFmtId="10" fontId="78" fillId="0" borderId="232" xfId="3292" quotePrefix="1" applyNumberFormat="1" applyFont="1" applyFill="1" applyBorder="1" applyAlignment="1" applyProtection="1">
      <alignment horizontal="right"/>
    </xf>
    <xf numFmtId="167" fontId="78" fillId="0" borderId="233" xfId="3292" applyNumberFormat="1" applyFont="1" applyBorder="1" applyAlignment="1" applyProtection="1">
      <alignment horizontal="right"/>
    </xf>
    <xf numFmtId="0" fontId="72" fillId="0" borderId="234" xfId="0" applyFont="1" applyBorder="1" applyProtection="1"/>
    <xf numFmtId="3" fontId="78" fillId="0" borderId="235" xfId="181" applyNumberFormat="1" applyFont="1" applyFill="1" applyBorder="1" applyAlignment="1" applyProtection="1"/>
    <xf numFmtId="3" fontId="78" fillId="0" borderId="236" xfId="181" applyNumberFormat="1" applyFont="1" applyBorder="1" applyProtection="1"/>
    <xf numFmtId="0" fontId="72" fillId="0" borderId="237" xfId="0" applyFont="1" applyBorder="1" applyProtection="1"/>
    <xf numFmtId="3" fontId="78" fillId="0" borderId="238" xfId="181" applyNumberFormat="1" applyFont="1" applyFill="1" applyBorder="1" applyAlignment="1" applyProtection="1"/>
    <xf numFmtId="3" fontId="78" fillId="0" borderId="239" xfId="181" applyNumberFormat="1" applyFont="1" applyBorder="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3" fontId="78" fillId="0" borderId="242" xfId="181" applyNumberFormat="1" applyFont="1" applyBorder="1" applyAlignment="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3" fontId="78" fillId="0" borderId="244" xfId="181" applyNumberFormat="1" applyFont="1" applyBorder="1" applyAlignment="1" applyProtection="1"/>
    <xf numFmtId="3" fontId="78" fillId="0" borderId="244" xfId="181" applyNumberFormat="1" applyFont="1" applyBorder="1" applyProtection="1"/>
    <xf numFmtId="3" fontId="78" fillId="0" borderId="245" xfId="181" applyNumberFormat="1" applyFont="1" applyBorder="1" applyAlignment="1" applyProtection="1"/>
    <xf numFmtId="3" fontId="78" fillId="0" borderId="245" xfId="181" applyNumberFormat="1" applyFont="1" applyBorder="1" applyProtection="1"/>
    <xf numFmtId="10" fontId="78" fillId="0" borderId="239" xfId="3292" quotePrefix="1" applyNumberFormat="1" applyFont="1" applyFill="1" applyBorder="1" applyAlignment="1" applyProtection="1">
      <alignment horizontal="right"/>
    </xf>
    <xf numFmtId="167" fontId="78" fillId="0" borderId="246" xfId="3292" applyNumberFormat="1" applyFont="1" applyBorder="1" applyAlignment="1" applyProtection="1">
      <alignment horizontal="right"/>
    </xf>
    <xf numFmtId="0" fontId="76" fillId="0" borderId="230" xfId="0" applyFont="1" applyFill="1" applyBorder="1" applyProtection="1"/>
    <xf numFmtId="0" fontId="76" fillId="0" borderId="247" xfId="0" applyFont="1" applyFill="1" applyBorder="1" applyProtection="1"/>
    <xf numFmtId="37" fontId="78" fillId="0" borderId="248" xfId="0" applyNumberFormat="1" applyFont="1" applyBorder="1" applyAlignment="1" applyProtection="1">
      <alignment horizontal="left"/>
    </xf>
    <xf numFmtId="3" fontId="78" fillId="0" borderId="249" xfId="181" applyNumberFormat="1" applyFont="1" applyBorder="1" applyAlignment="1" applyProtection="1">
      <alignment horizontal="right"/>
    </xf>
    <xf numFmtId="37" fontId="120" fillId="0" borderId="248" xfId="0" applyNumberFormat="1" applyFont="1" applyBorder="1" applyAlignment="1" applyProtection="1">
      <alignment horizontal="right"/>
    </xf>
    <xf numFmtId="37" fontId="78" fillId="0" borderId="248" xfId="0" applyNumberFormat="1" applyFont="1" applyBorder="1" applyProtection="1"/>
    <xf numFmtId="0" fontId="71" fillId="0" borderId="230" xfId="0" applyNumberFormat="1" applyFont="1" applyBorder="1" applyProtection="1"/>
    <xf numFmtId="0" fontId="71" fillId="0" borderId="230" xfId="0" applyFont="1" applyBorder="1" applyProtection="1"/>
    <xf numFmtId="0" fontId="74" fillId="0" borderId="230" xfId="0" applyFont="1" applyBorder="1" applyProtection="1"/>
    <xf numFmtId="37" fontId="78" fillId="0" borderId="230" xfId="0" quotePrefix="1" applyNumberFormat="1" applyFont="1" applyFill="1" applyBorder="1" applyProtection="1"/>
    <xf numFmtId="37" fontId="74" fillId="0" borderId="230" xfId="0" applyNumberFormat="1" applyFont="1" applyFill="1" applyBorder="1" applyProtection="1"/>
    <xf numFmtId="37" fontId="72" fillId="0" borderId="250" xfId="0" applyNumberFormat="1" applyFont="1" applyBorder="1" applyProtection="1"/>
    <xf numFmtId="37" fontId="74" fillId="0" borderId="247" xfId="0" applyNumberFormat="1" applyFont="1" applyBorder="1" applyProtection="1"/>
    <xf numFmtId="37" fontId="74" fillId="0" borderId="230" xfId="0" applyNumberFormat="1" applyFont="1" applyBorder="1" applyProtection="1"/>
    <xf numFmtId="4" fontId="156" fillId="32" borderId="220" xfId="0" applyNumberFormat="1" applyFont="1" applyFill="1" applyBorder="1" applyProtection="1">
      <protection locked="0"/>
    </xf>
    <xf numFmtId="4" fontId="72" fillId="0" borderId="220" xfId="181" applyNumberFormat="1" applyFont="1" applyBorder="1" applyProtection="1"/>
    <xf numFmtId="4" fontId="72" fillId="0" borderId="226" xfId="181"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8" fillId="0" borderId="221" xfId="0" applyNumberFormat="1" applyFont="1" applyBorder="1" applyProtection="1"/>
    <xf numFmtId="4" fontId="149" fillId="0" borderId="221" xfId="0" applyNumberFormat="1" applyFont="1" applyBorder="1" applyProtection="1"/>
    <xf numFmtId="4" fontId="72" fillId="0" borderId="220" xfId="181" applyNumberFormat="1" applyFont="1" applyFill="1" applyBorder="1" applyProtection="1"/>
    <xf numFmtId="4" fontId="149" fillId="0" borderId="223" xfId="0" applyNumberFormat="1" applyFont="1" applyFill="1" applyBorder="1" applyProtection="1"/>
    <xf numFmtId="4" fontId="72" fillId="0" borderId="226" xfId="181" applyNumberFormat="1" applyFont="1" applyFill="1" applyBorder="1" applyProtection="1"/>
    <xf numFmtId="4" fontId="72" fillId="0" borderId="223" xfId="181" applyNumberFormat="1" applyFont="1" applyFill="1" applyBorder="1" applyProtection="1"/>
    <xf numFmtId="3" fontId="156" fillId="32" borderId="251" xfId="0" applyNumberFormat="1" applyFont="1" applyFill="1" applyBorder="1" applyAlignment="1" applyProtection="1">
      <alignment horizontal="right"/>
      <protection locked="0"/>
    </xf>
    <xf numFmtId="0" fontId="72" fillId="0" borderId="251" xfId="0" applyFont="1" applyBorder="1"/>
    <xf numFmtId="0" fontId="72" fillId="0" borderId="251" xfId="0" applyFont="1" applyBorder="1" applyAlignment="1">
      <alignment horizontal="center"/>
    </xf>
    <xf numFmtId="4" fontId="72" fillId="0" borderId="251" xfId="0" applyNumberFormat="1" applyFont="1" applyBorder="1"/>
    <xf numFmtId="3" fontId="72" fillId="0" borderId="251" xfId="0" applyNumberFormat="1" applyFont="1" applyBorder="1"/>
    <xf numFmtId="3" fontId="156" fillId="32" borderId="252" xfId="0" applyNumberFormat="1" applyFont="1" applyFill="1" applyBorder="1" applyAlignment="1" applyProtection="1">
      <alignment horizontal="right"/>
      <protection locked="0"/>
    </xf>
    <xf numFmtId="0" fontId="72" fillId="0" borderId="253" xfId="0" applyFont="1" applyBorder="1"/>
    <xf numFmtId="0" fontId="72" fillId="0" borderId="253" xfId="0" applyFont="1" applyBorder="1" applyAlignment="1">
      <alignment horizontal="center"/>
    </xf>
    <xf numFmtId="3" fontId="156" fillId="32" borderId="253" xfId="0" applyNumberFormat="1" applyFont="1" applyFill="1" applyBorder="1" applyAlignment="1" applyProtection="1">
      <alignment horizontal="right"/>
      <protection locked="0"/>
    </xf>
    <xf numFmtId="4" fontId="72" fillId="0" borderId="253" xfId="0" applyNumberFormat="1" applyFont="1" applyBorder="1"/>
    <xf numFmtId="3" fontId="72" fillId="0" borderId="253" xfId="0" applyNumberFormat="1" applyFont="1" applyBorder="1"/>
    <xf numFmtId="0" fontId="72" fillId="0" borderId="220" xfId="0" applyFont="1" applyBorder="1"/>
    <xf numFmtId="0" fontId="72" fillId="0" borderId="220" xfId="0" applyFont="1" applyBorder="1" applyAlignment="1">
      <alignment horizontal="center"/>
    </xf>
    <xf numFmtId="4" fontId="72" fillId="0" borderId="220" xfId="0" applyNumberFormat="1" applyFont="1" applyBorder="1"/>
    <xf numFmtId="168" fontId="72" fillId="0" borderId="220" xfId="0" applyNumberFormat="1" applyFont="1" applyBorder="1"/>
    <xf numFmtId="0" fontId="72" fillId="0" borderId="221" xfId="0" applyFont="1" applyBorder="1"/>
    <xf numFmtId="0" fontId="72" fillId="0" borderId="221" xfId="0" applyFont="1" applyBorder="1" applyAlignment="1">
      <alignment horizontal="center"/>
    </xf>
    <xf numFmtId="4" fontId="72" fillId="0" borderId="221" xfId="0" applyNumberFormat="1" applyFont="1" applyBorder="1"/>
    <xf numFmtId="3" fontId="72" fillId="0" borderId="221" xfId="0" applyNumberFormat="1" applyFont="1" applyBorder="1"/>
    <xf numFmtId="0" fontId="74" fillId="0" borderId="223" xfId="0" applyFont="1" applyFill="1" applyBorder="1"/>
    <xf numFmtId="3" fontId="74" fillId="0" borderId="223" xfId="0" applyNumberFormat="1" applyFont="1" applyFill="1" applyBorder="1"/>
    <xf numFmtId="4" fontId="74" fillId="0" borderId="223" xfId="0" applyNumberFormat="1" applyFont="1" applyFill="1" applyBorder="1"/>
    <xf numFmtId="168" fontId="74" fillId="0" borderId="223" xfId="0" applyNumberFormat="1" applyFont="1" applyFill="1" applyBorder="1"/>
    <xf numFmtId="3" fontId="156" fillId="32" borderId="221" xfId="0" applyNumberFormat="1" applyFont="1" applyFill="1" applyBorder="1" applyAlignment="1" applyProtection="1">
      <alignment horizontal="right"/>
      <protection locked="0"/>
    </xf>
    <xf numFmtId="0" fontId="72" fillId="0" borderId="223" xfId="0" applyFont="1" applyBorder="1"/>
    <xf numFmtId="0" fontId="72" fillId="0" borderId="223" xfId="0" applyFont="1" applyBorder="1" applyAlignment="1">
      <alignment horizontal="center"/>
    </xf>
    <xf numFmtId="3" fontId="156" fillId="32" borderId="223" xfId="0" applyNumberFormat="1" applyFont="1" applyFill="1" applyBorder="1" applyAlignment="1" applyProtection="1">
      <alignment horizontal="right"/>
      <protection locked="0"/>
    </xf>
    <xf numFmtId="4" fontId="72" fillId="0" borderId="223" xfId="0" applyNumberFormat="1" applyFont="1" applyBorder="1"/>
    <xf numFmtId="3" fontId="72" fillId="0" borderId="223" xfId="0" applyNumberFormat="1" applyFont="1" applyBorder="1"/>
    <xf numFmtId="0" fontId="156" fillId="32" borderId="220" xfId="0" applyFont="1" applyFill="1" applyBorder="1" applyProtection="1">
      <protection locked="0"/>
    </xf>
    <xf numFmtId="0" fontId="156" fillId="32" borderId="221" xfId="0" applyFont="1" applyFill="1" applyBorder="1" applyProtection="1">
      <protection locked="0"/>
    </xf>
    <xf numFmtId="0" fontId="100" fillId="0" borderId="221" xfId="0" applyFont="1" applyBorder="1"/>
    <xf numFmtId="0" fontId="100" fillId="0" borderId="221" xfId="0" applyFont="1" applyBorder="1" applyAlignment="1">
      <alignment horizontal="center"/>
    </xf>
    <xf numFmtId="0" fontId="108" fillId="0" borderId="223" xfId="0" applyFont="1" applyBorder="1"/>
    <xf numFmtId="0" fontId="108" fillId="0" borderId="223" xfId="0" applyFont="1" applyFill="1" applyBorder="1"/>
    <xf numFmtId="168" fontId="108" fillId="0" borderId="223" xfId="0" applyNumberFormat="1" applyFont="1" applyFill="1" applyBorder="1"/>
    <xf numFmtId="3" fontId="157" fillId="32" borderId="221" xfId="0" applyNumberFormat="1" applyFont="1" applyFill="1" applyBorder="1" applyProtection="1">
      <protection locked="0"/>
    </xf>
    <xf numFmtId="168" fontId="130" fillId="75" borderId="254" xfId="0" applyNumberFormat="1" applyFont="1" applyFill="1" applyBorder="1" applyAlignment="1" applyProtection="1">
      <alignment horizontal="right"/>
    </xf>
    <xf numFmtId="5" fontId="130" fillId="75" borderId="254" xfId="0" applyNumberFormat="1" applyFont="1" applyFill="1" applyBorder="1" applyAlignment="1" applyProtection="1">
      <alignment horizontal="right"/>
    </xf>
    <xf numFmtId="5" fontId="130" fillId="30" borderId="255" xfId="0" quotePrefix="1" applyNumberFormat="1" applyFont="1" applyFill="1" applyBorder="1" applyAlignment="1" applyProtection="1">
      <alignment horizontal="right"/>
    </xf>
    <xf numFmtId="37" fontId="100" fillId="24" borderId="256" xfId="0" applyNumberFormat="1" applyFont="1" applyFill="1" applyBorder="1" applyAlignment="1" applyProtection="1">
      <alignment horizontal="right"/>
    </xf>
    <xf numFmtId="5" fontId="130" fillId="75" borderId="255"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57" xfId="0" applyNumberFormat="1" applyFont="1" applyBorder="1" applyProtection="1"/>
    <xf numFmtId="37" fontId="100" fillId="24" borderId="207" xfId="0" applyNumberFormat="1" applyFont="1" applyFill="1" applyBorder="1" applyAlignment="1" applyProtection="1">
      <alignment horizontal="right"/>
    </xf>
    <xf numFmtId="37" fontId="100" fillId="24" borderId="258" xfId="0" applyNumberFormat="1" applyFont="1" applyFill="1" applyBorder="1" applyAlignment="1" applyProtection="1">
      <alignment horizontal="right"/>
    </xf>
    <xf numFmtId="5" fontId="130" fillId="75" borderId="242"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58" xfId="0" applyNumberFormat="1" applyFont="1" applyFill="1" applyBorder="1" applyAlignment="1" applyProtection="1">
      <alignment horizontal="right"/>
    </xf>
    <xf numFmtId="37" fontId="129" fillId="75" borderId="262" xfId="0" applyNumberFormat="1" applyFont="1" applyFill="1" applyBorder="1" applyAlignment="1" applyProtection="1">
      <alignment horizontal="right"/>
    </xf>
    <xf numFmtId="37" fontId="108" fillId="0" borderId="263" xfId="0" applyNumberFormat="1" applyFont="1" applyBorder="1" applyProtection="1"/>
    <xf numFmtId="37" fontId="100" fillId="0" borderId="230" xfId="0" applyNumberFormat="1" applyFont="1" applyBorder="1" applyProtection="1"/>
    <xf numFmtId="37" fontId="100" fillId="0" borderId="242" xfId="0" applyNumberFormat="1" applyFont="1" applyBorder="1" applyAlignment="1" applyProtection="1">
      <alignment horizontal="right"/>
    </xf>
    <xf numFmtId="37" fontId="108" fillId="0" borderId="257" xfId="0" applyNumberFormat="1" applyFont="1" applyBorder="1" applyProtection="1"/>
    <xf numFmtId="5" fontId="157" fillId="33" borderId="242" xfId="0" applyNumberFormat="1" applyFont="1" applyFill="1" applyBorder="1" applyAlignment="1" applyProtection="1">
      <alignment horizontal="right"/>
      <protection locked="0"/>
    </xf>
    <xf numFmtId="37" fontId="129" fillId="75" borderId="218" xfId="0" applyNumberFormat="1" applyFont="1" applyFill="1" applyBorder="1" applyProtection="1"/>
    <xf numFmtId="37" fontId="129" fillId="24" borderId="258" xfId="0" applyNumberFormat="1" applyFont="1" applyFill="1" applyBorder="1" applyProtection="1"/>
    <xf numFmtId="37" fontId="108" fillId="30" borderId="264" xfId="0" applyNumberFormat="1" applyFont="1" applyFill="1" applyBorder="1" applyProtection="1"/>
    <xf numFmtId="37" fontId="129" fillId="75" borderId="262" xfId="0" applyNumberFormat="1" applyFont="1" applyFill="1" applyBorder="1" applyProtection="1"/>
    <xf numFmtId="37" fontId="100" fillId="75" borderId="262" xfId="0" applyNumberFormat="1" applyFont="1" applyFill="1" applyBorder="1" applyProtection="1"/>
    <xf numFmtId="37" fontId="100" fillId="0" borderId="258" xfId="0" applyNumberFormat="1" applyFont="1" applyFill="1" applyBorder="1" applyProtection="1"/>
    <xf numFmtId="0" fontId="100" fillId="0" borderId="215" xfId="0" applyFont="1" applyBorder="1" applyProtection="1"/>
    <xf numFmtId="0" fontId="100" fillId="0" borderId="216" xfId="0" applyFont="1" applyBorder="1" applyProtection="1"/>
    <xf numFmtId="0" fontId="100" fillId="0" borderId="212" xfId="0" applyFont="1" applyBorder="1" applyAlignment="1" applyProtection="1">
      <alignment horizontal="right"/>
    </xf>
    <xf numFmtId="37" fontId="100" fillId="24" borderId="214" xfId="0" applyNumberFormat="1" applyFont="1" applyFill="1" applyBorder="1" applyProtection="1"/>
    <xf numFmtId="37" fontId="100" fillId="75" borderId="268" xfId="0" applyNumberFormat="1" applyFont="1" applyFill="1" applyBorder="1" applyProtection="1"/>
    <xf numFmtId="37" fontId="100" fillId="24" borderId="258" xfId="0" applyNumberFormat="1" applyFont="1" applyFill="1" applyBorder="1" applyProtection="1"/>
    <xf numFmtId="5" fontId="108" fillId="75" borderId="214" xfId="0" applyNumberFormat="1" applyFont="1" applyFill="1" applyBorder="1" applyProtection="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72" xfId="0" applyFont="1" applyBorder="1"/>
    <xf numFmtId="0" fontId="106" fillId="0" borderId="273" xfId="0" applyFont="1" applyBorder="1"/>
    <xf numFmtId="0" fontId="106" fillId="0" borderId="273" xfId="0" applyFont="1" applyBorder="1" applyAlignment="1">
      <alignment horizontal="center"/>
    </xf>
    <xf numFmtId="3" fontId="158" fillId="32" borderId="274" xfId="0" applyNumberFormat="1" applyFont="1" applyFill="1" applyBorder="1" applyProtection="1">
      <protection locked="0"/>
    </xf>
    <xf numFmtId="3" fontId="106" fillId="0" borderId="274" xfId="0" applyNumberFormat="1" applyFont="1" applyBorder="1"/>
    <xf numFmtId="0" fontId="106" fillId="0" borderId="271" xfId="0" applyFont="1" applyBorder="1" applyAlignment="1">
      <alignment horizontal="center"/>
    </xf>
    <xf numFmtId="0" fontId="106" fillId="0" borderId="274" xfId="0" applyFont="1" applyBorder="1" applyAlignment="1">
      <alignment horizontal="center"/>
    </xf>
    <xf numFmtId="0" fontId="106" fillId="76" borderId="271" xfId="0" applyFont="1" applyFill="1" applyBorder="1"/>
    <xf numFmtId="3" fontId="159" fillId="30" borderId="271" xfId="0" applyNumberFormat="1" applyFont="1" applyFill="1" applyBorder="1" applyProtection="1"/>
    <xf numFmtId="0" fontId="106" fillId="0" borderId="275" xfId="0" applyFont="1" applyBorder="1"/>
    <xf numFmtId="0" fontId="106" fillId="76" borderId="274" xfId="0" applyFont="1" applyFill="1" applyBorder="1"/>
    <xf numFmtId="0" fontId="145" fillId="0" borderId="262" xfId="663" applyFont="1" applyFill="1" applyBorder="1" applyAlignment="1" applyProtection="1">
      <alignment horizontal="center" wrapText="1"/>
    </xf>
    <xf numFmtId="0" fontId="145" fillId="0" borderId="276" xfId="663" applyFont="1" applyFill="1" applyBorder="1" applyAlignment="1" applyProtection="1">
      <alignment horizontal="center" wrapText="1"/>
    </xf>
    <xf numFmtId="9" fontId="126" fillId="0" borderId="262" xfId="663" applyNumberFormat="1" applyFont="1" applyFill="1" applyBorder="1" applyAlignment="1">
      <alignment horizontal="center" wrapText="1"/>
    </xf>
    <xf numFmtId="9" fontId="145" fillId="0" borderId="276" xfId="663" applyNumberFormat="1" applyFont="1" applyFill="1" applyBorder="1" applyAlignment="1" applyProtection="1">
      <alignment horizontal="center" wrapText="1"/>
    </xf>
    <xf numFmtId="0" fontId="124" fillId="0" borderId="278" xfId="663" applyFont="1" applyFill="1" applyBorder="1" applyProtection="1"/>
    <xf numFmtId="44" fontId="109" fillId="0" borderId="277" xfId="378" applyFont="1" applyFill="1" applyBorder="1" applyProtection="1"/>
    <xf numFmtId="44" fontId="109" fillId="0" borderId="279" xfId="378" applyFont="1" applyFill="1" applyBorder="1" applyProtection="1"/>
    <xf numFmtId="0" fontId="109" fillId="0" borderId="278" xfId="663" applyFont="1" applyFill="1" applyBorder="1" applyProtection="1"/>
    <xf numFmtId="44" fontId="109" fillId="0" borderId="262" xfId="378" applyFont="1" applyFill="1" applyBorder="1" applyProtection="1"/>
    <xf numFmtId="44" fontId="109" fillId="0" borderId="276" xfId="378" applyFont="1" applyFill="1" applyBorder="1" applyProtection="1"/>
    <xf numFmtId="0" fontId="109" fillId="0" borderId="278" xfId="663" applyFont="1" applyFill="1" applyBorder="1" applyAlignment="1" applyProtection="1">
      <alignment horizontal="left"/>
    </xf>
    <xf numFmtId="0" fontId="109" fillId="0" borderId="280" xfId="663" applyFont="1" applyFill="1" applyBorder="1" applyProtection="1"/>
    <xf numFmtId="0" fontId="124" fillId="0" borderId="262" xfId="663" applyFont="1" applyFill="1" applyBorder="1"/>
    <xf numFmtId="0" fontId="124" fillId="0" borderId="276" xfId="663" applyFont="1" applyFill="1" applyBorder="1"/>
    <xf numFmtId="0" fontId="145" fillId="0" borderId="277" xfId="663" applyFont="1" applyFill="1" applyBorder="1" applyAlignment="1" applyProtection="1">
      <alignment horizontal="center" wrapText="1"/>
    </xf>
    <xf numFmtId="0" fontId="145" fillId="0" borderId="279" xfId="663" applyFont="1" applyFill="1" applyBorder="1" applyAlignment="1" applyProtection="1">
      <alignment horizontal="center" wrapText="1"/>
    </xf>
    <xf numFmtId="0" fontId="124" fillId="0" borderId="280" xfId="663" applyFont="1" applyFill="1" applyBorder="1" applyProtection="1"/>
    <xf numFmtId="0" fontId="109" fillId="0" borderId="280" xfId="663" applyFont="1" applyFill="1" applyBorder="1" applyAlignment="1" applyProtection="1">
      <alignment horizontal="left"/>
    </xf>
    <xf numFmtId="0" fontId="109" fillId="0" borderId="281" xfId="663" applyFont="1" applyFill="1" applyBorder="1" applyProtection="1"/>
    <xf numFmtId="44" fontId="109" fillId="0" borderId="282" xfId="378" applyFont="1" applyFill="1" applyBorder="1" applyProtection="1"/>
    <xf numFmtId="44" fontId="109" fillId="0" borderId="283" xfId="378" applyFont="1" applyFill="1" applyBorder="1" applyProtection="1"/>
    <xf numFmtId="0" fontId="145" fillId="0" borderId="284" xfId="663" applyFont="1" applyFill="1" applyBorder="1" applyAlignment="1" applyProtection="1">
      <alignment horizontal="center" wrapText="1"/>
    </xf>
    <xf numFmtId="9" fontId="145" fillId="0" borderId="284" xfId="663" applyNumberFormat="1" applyFont="1" applyFill="1" applyBorder="1" applyAlignment="1" applyProtection="1">
      <alignment horizontal="center" wrapText="1"/>
    </xf>
    <xf numFmtId="0" fontId="124" fillId="0" borderId="285" xfId="663" applyFont="1" applyFill="1" applyBorder="1" applyProtection="1"/>
    <xf numFmtId="44" fontId="109" fillId="0" borderId="284" xfId="378" applyFont="1" applyFill="1" applyBorder="1" applyProtection="1"/>
    <xf numFmtId="0" fontId="109" fillId="0" borderId="285" xfId="663" applyFont="1" applyFill="1" applyBorder="1" applyProtection="1"/>
    <xf numFmtId="0" fontId="109" fillId="0" borderId="285" xfId="663" applyFont="1" applyFill="1" applyBorder="1" applyAlignment="1" applyProtection="1">
      <alignment horizontal="left"/>
    </xf>
    <xf numFmtId="0" fontId="124" fillId="0" borderId="284" xfId="663" applyFont="1" applyFill="1" applyBorder="1"/>
    <xf numFmtId="44" fontId="109" fillId="0" borderId="262" xfId="378" applyFont="1" applyFill="1" applyBorder="1" applyAlignment="1" applyProtection="1">
      <alignment horizontal="right"/>
    </xf>
    <xf numFmtId="44" fontId="109" fillId="0" borderId="284" xfId="378" applyFont="1" applyFill="1" applyBorder="1" applyAlignment="1" applyProtection="1">
      <alignment horizontal="right"/>
    </xf>
    <xf numFmtId="0" fontId="109" fillId="0" borderId="286" xfId="663" applyFont="1" applyFill="1" applyBorder="1" applyProtection="1"/>
    <xf numFmtId="44" fontId="109" fillId="0" borderId="287" xfId="378" applyFont="1" applyFill="1" applyBorder="1" applyAlignment="1" applyProtection="1">
      <alignment horizontal="right"/>
    </xf>
    <xf numFmtId="44" fontId="109" fillId="0" borderId="288" xfId="378" applyFont="1" applyFill="1" applyBorder="1" applyAlignment="1" applyProtection="1">
      <alignment horizontal="right"/>
    </xf>
    <xf numFmtId="44" fontId="109" fillId="0" borderId="262" xfId="378" quotePrefix="1" applyFont="1" applyFill="1" applyBorder="1" applyProtection="1"/>
    <xf numFmtId="44" fontId="109" fillId="0" borderId="287" xfId="378" applyFont="1" applyFill="1" applyBorder="1" applyProtection="1"/>
    <xf numFmtId="44" fontId="109" fillId="0" borderId="287" xfId="378" quotePrefix="1" applyFont="1" applyFill="1" applyBorder="1" applyProtection="1"/>
    <xf numFmtId="44" fontId="109" fillId="0" borderId="288" xfId="378" applyFont="1" applyFill="1" applyBorder="1" applyProtection="1"/>
    <xf numFmtId="44" fontId="109" fillId="0" borderId="284" xfId="378" quotePrefix="1" applyFont="1" applyFill="1" applyBorder="1" applyProtection="1"/>
    <xf numFmtId="0" fontId="78" fillId="27" borderId="289" xfId="663" applyFont="1" applyFill="1" applyBorder="1" applyAlignment="1" applyProtection="1">
      <alignment wrapText="1"/>
    </xf>
    <xf numFmtId="9" fontId="72" fillId="27" borderId="290" xfId="663" applyNumberFormat="1" applyFont="1" applyFill="1" applyBorder="1" applyAlignment="1" applyProtection="1">
      <alignment horizontal="center"/>
    </xf>
    <xf numFmtId="0" fontId="72" fillId="27" borderId="291" xfId="663" applyFont="1" applyFill="1" applyBorder="1" applyProtection="1"/>
    <xf numFmtId="0" fontId="78" fillId="28" borderId="289" xfId="663" applyFont="1" applyFill="1" applyBorder="1" applyAlignment="1" applyProtection="1">
      <alignment wrapText="1"/>
    </xf>
    <xf numFmtId="9" fontId="72" fillId="28" borderId="290" xfId="663" applyNumberFormat="1" applyFont="1" applyFill="1" applyBorder="1" applyAlignment="1" applyProtection="1">
      <alignment horizontal="center"/>
    </xf>
    <xf numFmtId="0" fontId="72" fillId="28" borderId="291" xfId="663" applyFont="1" applyFill="1" applyBorder="1" applyProtection="1"/>
    <xf numFmtId="0" fontId="78" fillId="27" borderId="289" xfId="663" applyFont="1" applyFill="1" applyBorder="1" applyProtection="1"/>
    <xf numFmtId="0" fontId="72" fillId="27" borderId="291" xfId="663" applyFont="1" applyFill="1" applyBorder="1" applyAlignment="1" applyProtection="1">
      <alignment wrapText="1"/>
    </xf>
    <xf numFmtId="0" fontId="72" fillId="28" borderId="291" xfId="663" applyFont="1" applyFill="1" applyBorder="1" applyAlignment="1" applyProtection="1">
      <alignment horizontal="left"/>
    </xf>
    <xf numFmtId="0" fontId="78" fillId="28" borderId="294" xfId="663" applyFont="1" applyFill="1" applyBorder="1" applyAlignment="1" applyProtection="1">
      <alignment wrapText="1"/>
    </xf>
    <xf numFmtId="9" fontId="72" fillId="28" borderId="295" xfId="663" applyNumberFormat="1" applyFont="1" applyFill="1" applyBorder="1" applyAlignment="1" applyProtection="1">
      <alignment horizontal="center"/>
    </xf>
    <xf numFmtId="0" fontId="72" fillId="28" borderId="296"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3"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59" xfId="0" applyNumberFormat="1" applyFont="1" applyFill="1" applyBorder="1" applyAlignment="1" applyProtection="1">
      <alignment horizontal="left"/>
    </xf>
    <xf numFmtId="37" fontId="108" fillId="30" borderId="260" xfId="0" applyNumberFormat="1" applyFont="1" applyFill="1" applyBorder="1" applyAlignment="1" applyProtection="1">
      <alignment horizontal="left"/>
    </xf>
    <xf numFmtId="37" fontId="108" fillId="30" borderId="261"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09" xfId="0" applyFont="1" applyBorder="1" applyAlignment="1">
      <alignment wrapText="1"/>
    </xf>
    <xf numFmtId="0" fontId="126" fillId="0" borderId="185" xfId="0" applyFont="1" applyBorder="1" applyAlignment="1">
      <alignment horizontal="center"/>
    </xf>
    <xf numFmtId="0" fontId="126" fillId="0" borderId="277"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1"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4"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3" fontId="72" fillId="36" borderId="298" xfId="0" applyNumberFormat="1" applyFont="1" applyFill="1" applyBorder="1" applyAlignment="1" applyProtection="1">
      <alignment horizontal="right"/>
    </xf>
    <xf numFmtId="0" fontId="72" fillId="79" borderId="44" xfId="0" applyFont="1" applyFill="1" applyBorder="1"/>
    <xf numFmtId="0" fontId="72" fillId="79" borderId="219" xfId="0" applyFont="1" applyFill="1" applyBorder="1"/>
    <xf numFmtId="0" fontId="72" fillId="79" borderId="222" xfId="0" applyFont="1" applyFill="1" applyBorder="1"/>
    <xf numFmtId="0" fontId="72" fillId="79" borderId="194" xfId="0" applyFont="1" applyFill="1" applyBorder="1"/>
    <xf numFmtId="166" fontId="72" fillId="36" borderId="89" xfId="0" applyNumberFormat="1" applyFont="1" applyFill="1" applyBorder="1"/>
    <xf numFmtId="166" fontId="72" fillId="36" borderId="194" xfId="0" applyNumberFormat="1" applyFont="1" applyFill="1" applyBorder="1"/>
    <xf numFmtId="166" fontId="72" fillId="36" borderId="190" xfId="0" applyNumberFormat="1" applyFont="1" applyFill="1" applyBorder="1"/>
    <xf numFmtId="166" fontId="105" fillId="32" borderId="21" xfId="0" applyNumberFormat="1" applyFont="1" applyFill="1" applyBorder="1"/>
    <xf numFmtId="169" fontId="174" fillId="32" borderId="262" xfId="0" applyNumberFormat="1" applyFont="1" applyFill="1" applyBorder="1"/>
    <xf numFmtId="169" fontId="174" fillId="32" borderId="277" xfId="0" applyNumberFormat="1" applyFont="1" applyFill="1" applyBorder="1"/>
    <xf numFmtId="169" fontId="174" fillId="32" borderId="287"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6" xfId="0" applyFont="1" applyFill="1" applyBorder="1" applyAlignment="1">
      <alignment horizontal="center"/>
    </xf>
    <xf numFmtId="0" fontId="74" fillId="35" borderId="61" xfId="0" applyFont="1" applyFill="1" applyBorder="1" applyAlignment="1">
      <alignment horizontal="center"/>
    </xf>
    <xf numFmtId="0" fontId="74" fillId="35" borderId="152" xfId="0" applyFont="1" applyFill="1" applyBorder="1" applyAlignment="1">
      <alignment horizontal="center" wrapText="1"/>
    </xf>
    <xf numFmtId="0" fontId="74" fillId="35" borderId="197" xfId="0" applyFont="1" applyFill="1" applyBorder="1" applyAlignment="1">
      <alignment horizontal="center"/>
    </xf>
    <xf numFmtId="0" fontId="74" fillId="35" borderId="149" xfId="0" applyFont="1" applyFill="1" applyBorder="1" applyAlignment="1">
      <alignment horizontal="center" wrapText="1"/>
    </xf>
    <xf numFmtId="0" fontId="74" fillId="35" borderId="11" xfId="0" applyFont="1" applyFill="1" applyBorder="1" applyAlignment="1">
      <alignment horizontal="center"/>
    </xf>
    <xf numFmtId="0" fontId="74" fillId="35" borderId="107" xfId="0" applyFont="1" applyFill="1" applyBorder="1" applyAlignment="1">
      <alignment horizontal="center"/>
    </xf>
    <xf numFmtId="0" fontId="74" fillId="35" borderId="150" xfId="0" applyFont="1" applyFill="1" applyBorder="1" applyAlignment="1">
      <alignment horizontal="center" wrapText="1"/>
    </xf>
    <xf numFmtId="0" fontId="74" fillId="35" borderId="69" xfId="0" applyFont="1" applyFill="1" applyBorder="1" applyAlignment="1">
      <alignment horizontal="center" wrapText="1"/>
    </xf>
    <xf numFmtId="0" fontId="74" fillId="35" borderId="86" xfId="0" applyFont="1" applyFill="1" applyBorder="1" applyAlignment="1">
      <alignment horizontal="center" wrapText="1"/>
    </xf>
    <xf numFmtId="0" fontId="74" fillId="35" borderId="19" xfId="0" applyFont="1" applyFill="1" applyBorder="1" applyAlignment="1">
      <alignment horizontal="center" wrapText="1"/>
    </xf>
    <xf numFmtId="4" fontId="161" fillId="32" borderId="297" xfId="0" applyNumberFormat="1" applyFont="1" applyFill="1" applyBorder="1" applyProtection="1">
      <protection locked="0"/>
    </xf>
    <xf numFmtId="4" fontId="161" fillId="32" borderId="298" xfId="0" applyNumberFormat="1" applyFont="1" applyFill="1" applyBorder="1" applyProtection="1">
      <protection locked="0"/>
    </xf>
    <xf numFmtId="4" fontId="161" fillId="32" borderId="299" xfId="0" applyNumberFormat="1" applyFont="1" applyFill="1" applyBorder="1" applyProtection="1">
      <protection locked="0"/>
    </xf>
    <xf numFmtId="0" fontId="175" fillId="72" borderId="23" xfId="0" applyFont="1" applyFill="1" applyBorder="1" applyProtection="1"/>
    <xf numFmtId="4" fontId="161" fillId="32" borderId="196"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1" xfId="0" applyNumberFormat="1" applyFont="1" applyFill="1" applyBorder="1" applyAlignment="1" applyProtection="1">
      <alignment horizontal="right"/>
      <protection locked="0"/>
    </xf>
    <xf numFmtId="168" fontId="156" fillId="32" borderId="220"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60"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272" xfId="0" applyFont="1" applyFill="1" applyBorder="1" applyAlignment="1" applyProtection="1">
      <alignment horizontal="center"/>
      <protection locked="0"/>
    </xf>
    <xf numFmtId="0" fontId="162" fillId="32" borderId="273" xfId="0" applyFont="1" applyFill="1" applyBorder="1" applyAlignment="1" applyProtection="1">
      <alignment horizontal="center"/>
      <protection locked="0"/>
    </xf>
    <xf numFmtId="0" fontId="162" fillId="32" borderId="196" xfId="0" applyFont="1" applyFill="1" applyBorder="1" applyAlignment="1" applyProtection="1">
      <alignment horizontal="center"/>
      <protection locked="0"/>
    </xf>
    <xf numFmtId="0" fontId="162" fillId="32" borderId="186" xfId="0" applyFont="1" applyFill="1" applyBorder="1" applyAlignment="1" applyProtection="1">
      <alignment horizontal="center"/>
      <protection locked="0"/>
    </xf>
    <xf numFmtId="0" fontId="72" fillId="29" borderId="86" xfId="0" applyFont="1" applyFill="1" applyBorder="1" applyAlignment="1"/>
    <xf numFmtId="0" fontId="72" fillId="29" borderId="87" xfId="0" applyFont="1" applyFill="1" applyBorder="1" applyAlignment="1"/>
    <xf numFmtId="0" fontId="72" fillId="34" borderId="86" xfId="0" applyFont="1" applyFill="1" applyBorder="1" applyAlignment="1"/>
    <xf numFmtId="0" fontId="72" fillId="34" borderId="87" xfId="0" applyFont="1" applyFill="1" applyBorder="1" applyAlignment="1"/>
    <xf numFmtId="0" fontId="72" fillId="34" borderId="86" xfId="0" applyFont="1" applyFill="1" applyBorder="1" applyAlignment="1">
      <alignment horizontal="center"/>
    </xf>
    <xf numFmtId="0" fontId="72" fillId="34" borderId="87" xfId="0" applyFont="1" applyFill="1" applyBorder="1" applyAlignment="1">
      <alignment horizontal="center"/>
    </xf>
    <xf numFmtId="0" fontId="108" fillId="74" borderId="19" xfId="0" applyFont="1" applyFill="1" applyBorder="1" applyProtection="1"/>
    <xf numFmtId="0" fontId="108" fillId="74" borderId="87" xfId="0" applyFont="1" applyFill="1" applyBorder="1" applyProtection="1"/>
    <xf numFmtId="37" fontId="176" fillId="0" borderId="0" xfId="0" applyNumberFormat="1" applyFont="1" applyProtection="1">
      <protection locked="0"/>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0" fontId="163" fillId="0" borderId="269" xfId="0" applyFont="1" applyBorder="1" applyAlignment="1"/>
    <xf numFmtId="0" fontId="106" fillId="0" borderId="194" xfId="0" applyFont="1" applyBorder="1" applyAlignment="1"/>
    <xf numFmtId="0" fontId="126" fillId="0" borderId="205" xfId="0" applyFont="1" applyBorder="1" applyAlignment="1">
      <alignment horizontal="centerContinuous" wrapText="1"/>
    </xf>
    <xf numFmtId="0" fontId="126" fillId="0" borderId="188" xfId="0" applyFont="1" applyBorder="1" applyAlignment="1">
      <alignment horizontal="centerContinuous" wrapText="1"/>
    </xf>
    <xf numFmtId="0" fontId="126" fillId="0" borderId="20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40" fillId="0" borderId="63" xfId="663" applyFont="1" applyBorder="1" applyAlignment="1" applyProtection="1">
      <alignment horizontal="centerContinuous"/>
    </xf>
    <xf numFmtId="0" fontId="140" fillId="0" borderId="64"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2" xfId="663" applyFont="1" applyBorder="1" applyAlignment="1" applyProtection="1">
      <alignment horizontal="centerContinuous"/>
    </xf>
    <xf numFmtId="0" fontId="75" fillId="0" borderId="266" xfId="663" applyFont="1" applyBorder="1" applyAlignment="1" applyProtection="1">
      <alignment horizontal="centerContinuous"/>
    </xf>
    <xf numFmtId="0" fontId="75" fillId="0" borderId="293" xfId="663" applyFont="1" applyBorder="1" applyAlignment="1" applyProtection="1">
      <alignment horizontal="centerContinuous"/>
    </xf>
    <xf numFmtId="0" fontId="75" fillId="0" borderId="41" xfId="663" applyFont="1" applyBorder="1" applyAlignment="1" applyProtection="1">
      <alignment horizontal="centerContinuous"/>
    </xf>
    <xf numFmtId="9" fontId="72" fillId="0" borderId="266" xfId="663" applyNumberFormat="1" applyFont="1" applyBorder="1" applyAlignment="1" applyProtection="1">
      <alignment horizontal="centerContinuous"/>
    </xf>
    <xf numFmtId="0" fontId="72" fillId="0" borderId="293" xfId="663" applyFont="1" applyBorder="1" applyAlignment="1" applyProtection="1">
      <alignment horizontal="centerContinuous"/>
    </xf>
    <xf numFmtId="0" fontId="75" fillId="0" borderId="119" xfId="663" applyFont="1" applyBorder="1" applyAlignment="1" applyProtection="1">
      <alignment horizontal="centerContinuous"/>
    </xf>
    <xf numFmtId="0" fontId="125" fillId="0" borderId="0" xfId="0" applyFont="1" applyAlignment="1">
      <alignment horizontal="centerContinuous"/>
    </xf>
    <xf numFmtId="0" fontId="106" fillId="0" borderId="298" xfId="0" applyFont="1" applyBorder="1" applyAlignment="1">
      <alignment horizontal="center"/>
    </xf>
    <xf numFmtId="3" fontId="158" fillId="32" borderId="298" xfId="0" applyNumberFormat="1" applyFont="1" applyFill="1" applyBorder="1" applyProtection="1">
      <protection locked="0"/>
    </xf>
    <xf numFmtId="3" fontId="106" fillId="0" borderId="298" xfId="0" applyNumberFormat="1" applyFont="1" applyBorder="1"/>
    <xf numFmtId="37" fontId="106" fillId="0" borderId="173" xfId="0" applyNumberFormat="1" applyFont="1" applyFill="1" applyBorder="1" applyProtection="1"/>
    <xf numFmtId="0" fontId="74" fillId="0" borderId="88" xfId="0" applyFont="1" applyBorder="1" applyAlignment="1">
      <alignment horizontal="center"/>
    </xf>
    <xf numFmtId="0" fontId="74" fillId="0" borderId="87" xfId="0" applyFont="1" applyBorder="1" applyAlignment="1">
      <alignment horizontal="center"/>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1" fontId="100" fillId="0" borderId="10" xfId="0" applyNumberFormat="1" applyFont="1" applyBorder="1" applyAlignment="1" applyProtection="1">
      <alignment horizontal="right"/>
    </xf>
    <xf numFmtId="37" fontId="106" fillId="0" borderId="173" xfId="0" applyNumberFormat="1" applyFont="1" applyBorder="1" applyProtection="1"/>
    <xf numFmtId="5" fontId="72" fillId="32" borderId="301" xfId="182" applyNumberFormat="1" applyFont="1" applyFill="1" applyBorder="1" applyAlignment="1">
      <alignment horizontal="right"/>
    </xf>
    <xf numFmtId="5" fontId="151" fillId="32" borderId="277" xfId="49334" applyNumberFormat="1" applyFont="1" applyFill="1" applyBorder="1" applyAlignment="1">
      <alignment horizontal="right"/>
    </xf>
    <xf numFmtId="165" fontId="71" fillId="0" borderId="0" xfId="182" applyNumberFormat="1" applyFont="1" applyFill="1"/>
    <xf numFmtId="165" fontId="72" fillId="32" borderId="285" xfId="182" applyNumberFormat="1" applyFont="1" applyFill="1" applyBorder="1" applyAlignment="1">
      <alignment horizontal="right"/>
    </xf>
    <xf numFmtId="165" fontId="151" fillId="32" borderId="262" xfId="49334" applyNumberFormat="1" applyFont="1" applyFill="1" applyBorder="1" applyAlignment="1">
      <alignment horizontal="right"/>
    </xf>
    <xf numFmtId="165" fontId="72" fillId="0" borderId="0" xfId="182" applyNumberFormat="1" applyFont="1"/>
    <xf numFmtId="165" fontId="105" fillId="0" borderId="0" xfId="182" applyNumberFormat="1" applyFont="1" applyFill="1" applyBorder="1"/>
    <xf numFmtId="43" fontId="100" fillId="0" borderId="0" xfId="182" applyFont="1" applyAlignment="1">
      <alignment wrapText="1"/>
    </xf>
    <xf numFmtId="165" fontId="72" fillId="0" borderId="0" xfId="182" applyNumberFormat="1" applyFont="1" applyFill="1" applyProtection="1"/>
    <xf numFmtId="0" fontId="72" fillId="32" borderId="297" xfId="495" applyFont="1" applyFill="1" applyBorder="1" applyAlignment="1">
      <alignment horizontal="center" wrapText="1"/>
    </xf>
    <xf numFmtId="3" fontId="72" fillId="32" borderId="298" xfId="182" applyNumberFormat="1" applyFont="1" applyFill="1" applyBorder="1"/>
    <xf numFmtId="0" fontId="72" fillId="32" borderId="298" xfId="495" applyFont="1" applyFill="1" applyBorder="1" applyAlignment="1">
      <alignment horizontal="center" wrapText="1"/>
    </xf>
    <xf numFmtId="3" fontId="72" fillId="32" borderId="23" xfId="182" applyNumberFormat="1" applyFont="1" applyFill="1" applyBorder="1"/>
    <xf numFmtId="168" fontId="72" fillId="32" borderId="297" xfId="0" applyNumberFormat="1" applyFont="1" applyFill="1" applyBorder="1" applyAlignment="1"/>
    <xf numFmtId="0" fontId="74" fillId="0" borderId="299" xfId="0" applyFont="1" applyFill="1" applyBorder="1" applyAlignment="1">
      <alignment horizontal="center"/>
    </xf>
    <xf numFmtId="3" fontId="74" fillId="0" borderId="274" xfId="0" applyNumberFormat="1" applyFont="1" applyFill="1" applyBorder="1" applyAlignment="1">
      <alignment horizontal="center"/>
    </xf>
    <xf numFmtId="166" fontId="72" fillId="36" borderId="300" xfId="0" applyNumberFormat="1" applyFont="1" applyFill="1" applyBorder="1"/>
    <xf numFmtId="166" fontId="72" fillId="36" borderId="297" xfId="0" applyNumberFormat="1" applyFont="1" applyFill="1" applyBorder="1"/>
    <xf numFmtId="170" fontId="74" fillId="0" borderId="0" xfId="182" applyNumberFormat="1" applyFont="1" applyFill="1"/>
    <xf numFmtId="0" fontId="72" fillId="0" borderId="297" xfId="0" applyFont="1" applyFill="1" applyBorder="1"/>
    <xf numFmtId="166" fontId="72" fillId="70" borderId="284" xfId="0" applyNumberFormat="1" applyFont="1" applyFill="1" applyBorder="1"/>
    <xf numFmtId="166" fontId="72" fillId="32" borderId="284" xfId="0" applyNumberFormat="1" applyFont="1" applyFill="1" applyBorder="1"/>
    <xf numFmtId="166" fontId="72" fillId="36" borderId="270" xfId="0" applyNumberFormat="1" applyFont="1" applyFill="1" applyBorder="1"/>
    <xf numFmtId="169" fontId="72" fillId="32" borderId="285" xfId="17654" applyNumberFormat="1" applyFont="1" applyFill="1" applyBorder="1"/>
    <xf numFmtId="171" fontId="72" fillId="32" borderId="284" xfId="17654" applyNumberFormat="1" applyFont="1" applyFill="1" applyBorder="1"/>
    <xf numFmtId="166" fontId="72" fillId="36" borderId="298" xfId="0" applyNumberFormat="1" applyFont="1" applyFill="1" applyBorder="1"/>
    <xf numFmtId="171" fontId="72" fillId="32" borderId="284" xfId="182" applyNumberFormat="1" applyFont="1" applyFill="1" applyBorder="1"/>
    <xf numFmtId="169" fontId="78" fillId="32" borderId="298" xfId="17654" applyNumberFormat="1" applyFont="1" applyFill="1" applyBorder="1" applyAlignment="1"/>
    <xf numFmtId="166" fontId="72" fillId="36" borderId="269" xfId="0" applyNumberFormat="1" applyFont="1" applyFill="1" applyBorder="1"/>
    <xf numFmtId="166" fontId="72" fillId="32" borderId="298" xfId="182" applyNumberFormat="1" applyFont="1" applyFill="1" applyBorder="1"/>
    <xf numFmtId="166" fontId="78" fillId="32" borderId="298" xfId="17654" applyNumberFormat="1" applyFont="1" applyFill="1" applyBorder="1" applyAlignment="1"/>
    <xf numFmtId="170" fontId="74" fillId="32" borderId="0" xfId="182" applyNumberFormat="1" applyFont="1" applyFill="1" applyBorder="1"/>
    <xf numFmtId="0" fontId="72" fillId="0" borderId="298" xfId="0" applyFont="1" applyFill="1" applyBorder="1"/>
    <xf numFmtId="170" fontId="74" fillId="32" borderId="188" xfId="182" applyNumberFormat="1" applyFont="1" applyFill="1" applyBorder="1"/>
    <xf numFmtId="170" fontId="74" fillId="0" borderId="0" xfId="182" applyNumberFormat="1" applyFont="1" applyFill="1" applyBorder="1"/>
    <xf numFmtId="170" fontId="74" fillId="0" borderId="188" xfId="182" applyNumberFormat="1" applyFont="1" applyFill="1" applyBorder="1"/>
    <xf numFmtId="170" fontId="122" fillId="31" borderId="0" xfId="182" applyNumberFormat="1" applyFont="1" applyFill="1" applyBorder="1"/>
    <xf numFmtId="43" fontId="122" fillId="31" borderId="0" xfId="182" applyFont="1" applyFill="1"/>
    <xf numFmtId="0" fontId="72" fillId="0" borderId="274" xfId="0" applyFont="1" applyFill="1" applyBorder="1"/>
    <xf numFmtId="169" fontId="72" fillId="32" borderId="286" xfId="17654" applyNumberFormat="1" applyFont="1" applyFill="1" applyBorder="1"/>
    <xf numFmtId="171" fontId="72" fillId="32" borderId="288" xfId="17654" applyNumberFormat="1" applyFont="1" applyFill="1" applyBorder="1"/>
    <xf numFmtId="166" fontId="72" fillId="36" borderId="273" xfId="0" applyNumberFormat="1" applyFont="1" applyFill="1" applyBorder="1"/>
    <xf numFmtId="166" fontId="72" fillId="36" borderId="274" xfId="0" applyNumberFormat="1" applyFont="1" applyFill="1" applyBorder="1"/>
    <xf numFmtId="171" fontId="72" fillId="32" borderId="288" xfId="182" applyNumberFormat="1" applyFont="1" applyFill="1" applyBorder="1"/>
    <xf numFmtId="166" fontId="72" fillId="32" borderId="274" xfId="182" applyNumberFormat="1" applyFont="1" applyFill="1" applyBorder="1"/>
    <xf numFmtId="166" fontId="78" fillId="32" borderId="299" xfId="17654" applyNumberFormat="1" applyFont="1" applyFill="1" applyBorder="1" applyAlignment="1"/>
    <xf numFmtId="0" fontId="156" fillId="32" borderId="298" xfId="0" applyFont="1" applyFill="1" applyBorder="1" applyAlignment="1" applyProtection="1">
      <alignment wrapText="1"/>
      <protection locked="0"/>
    </xf>
    <xf numFmtId="0" fontId="162" fillId="32" borderId="298" xfId="0" applyFont="1" applyFill="1" applyBorder="1" applyAlignment="1" applyProtection="1">
      <alignment horizontal="centerContinuous"/>
      <protection locked="0"/>
    </xf>
    <xf numFmtId="0" fontId="72" fillId="0" borderId="0" xfId="0" applyFont="1" applyProtection="1">
      <protection locked="0"/>
    </xf>
    <xf numFmtId="0" fontId="74" fillId="0" borderId="0" xfId="17654" applyFont="1" applyFill="1" applyAlignment="1" applyProtection="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9" fillId="31" borderId="0" xfId="0" applyFont="1" applyFill="1" applyAlignment="1">
      <alignment horizontal="left"/>
    </xf>
    <xf numFmtId="0" fontId="164" fillId="32" borderId="17" xfId="0" applyFont="1" applyFill="1" applyBorder="1" applyAlignment="1">
      <alignment horizontal="left"/>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54" fillId="32" borderId="0" xfId="17654" applyFont="1" applyFill="1" applyAlignment="1" applyProtection="1">
      <alignment horizontal="left"/>
    </xf>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100" fillId="0" borderId="0" xfId="0" applyFont="1" applyFill="1" applyBorder="1" applyAlignment="1">
      <alignment horizontal="left" vertical="top" wrapText="1"/>
    </xf>
    <xf numFmtId="0" fontId="100" fillId="0" borderId="0" xfId="0" applyFont="1" applyAlignment="1">
      <alignment horizontal="left"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4" xfId="0" applyFont="1" applyFill="1" applyBorder="1" applyAlignment="1">
      <alignment horizontal="center"/>
    </xf>
    <xf numFmtId="0" fontId="74" fillId="0" borderId="53" xfId="0" applyFont="1" applyFill="1" applyBorder="1" applyAlignment="1">
      <alignment horizontal="center"/>
    </xf>
    <xf numFmtId="0" fontId="79" fillId="31" borderId="0" xfId="0" applyFont="1" applyFill="1" applyAlignment="1">
      <alignment horizontal="center" wrapText="1"/>
    </xf>
    <xf numFmtId="0" fontId="72" fillId="0" borderId="0" xfId="0" applyFont="1" applyFill="1" applyAlignment="1" applyProtection="1">
      <alignment horizontal="left"/>
    </xf>
    <xf numFmtId="0" fontId="72" fillId="0" borderId="0" xfId="0" applyFont="1" applyFill="1" applyAlignment="1" applyProtection="1"/>
    <xf numFmtId="0" fontId="108" fillId="0" borderId="0" xfId="0" applyFont="1" applyFill="1" applyAlignment="1">
      <alignment horizontal="left"/>
    </xf>
    <xf numFmtId="0" fontId="73" fillId="0" borderId="0" xfId="0" applyFont="1" applyFill="1" applyAlignment="1">
      <alignment horizontal="left"/>
    </xf>
    <xf numFmtId="0" fontId="72" fillId="0" borderId="0" xfId="0" applyFont="1" applyAlignment="1">
      <alignment horizontal="left"/>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68" xfId="0"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cellXfs>
  <cellStyles count="49352">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Followed Hyperlink" xfId="49351" builtinId="9" hidden="1"/>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xfId="49350" builtinId="8" hidden="1"/>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0</xdr:col>
          <xdr:colOff>5829300</xdr:colOff>
          <xdr:row>50</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5" name="Object 3" hidden="1">
              <a:extLst>
                <a:ext uri="{63B3BB69-23CF-44E3-9099-C40C66FF867C}">
                  <a14:compatExt spid="_x0000_s38915"/>
                </a:ext>
                <a:ext uri="{FF2B5EF4-FFF2-40B4-BE49-F238E27FC236}">
                  <a16:creationId xmlns:a16="http://schemas.microsoft.com/office/drawing/2014/main" id="{00000000-0008-0000-0A00-00000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45" t="s">
        <v>0</v>
      </c>
      <c r="B1" s="745"/>
      <c r="C1" s="745"/>
      <c r="D1" s="745"/>
      <c r="E1" s="745"/>
    </row>
    <row r="2" spans="1:5" ht="23.25">
      <c r="A2" s="745" t="s">
        <v>758</v>
      </c>
      <c r="B2" s="745"/>
      <c r="C2" s="745"/>
      <c r="D2" s="745"/>
      <c r="E2" s="745"/>
    </row>
    <row r="3" spans="1:5" ht="21" customHeight="1">
      <c r="A3" s="745" t="s">
        <v>1</v>
      </c>
      <c r="B3" s="745"/>
      <c r="C3" s="745"/>
      <c r="D3" s="745"/>
      <c r="E3" s="74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27"/>
      <c r="B7" s="728"/>
      <c r="C7" s="729"/>
      <c r="D7" s="731"/>
      <c r="E7" s="730"/>
    </row>
    <row r="8" spans="1:5" s="4" customFormat="1" ht="20.100000000000001" customHeight="1">
      <c r="A8" s="727"/>
      <c r="B8" s="728"/>
      <c r="C8" s="729"/>
      <c r="D8" s="731"/>
      <c r="E8" s="730"/>
    </row>
    <row r="9" spans="1:5" s="4" customFormat="1" ht="20.100000000000001" customHeight="1">
      <c r="A9" s="731"/>
      <c r="B9" s="11"/>
      <c r="C9" s="729"/>
      <c r="D9" s="950"/>
      <c r="E9" s="730"/>
    </row>
    <row r="10" spans="1:5" s="4" customFormat="1" ht="20.100000000000001" customHeight="1">
      <c r="A10" s="746" t="s">
        <v>9</v>
      </c>
      <c r="B10" s="13"/>
      <c r="C10" s="14" t="s">
        <v>10</v>
      </c>
      <c r="D10" s="15"/>
      <c r="E10" s="12" t="s">
        <v>10</v>
      </c>
    </row>
    <row r="11" spans="1:5" s="4" customFormat="1" ht="20.100000000000001" customHeight="1">
      <c r="A11" s="746"/>
      <c r="B11" s="13"/>
      <c r="C11" s="13"/>
      <c r="D11" s="15"/>
      <c r="E11" s="13"/>
    </row>
    <row r="12" spans="1:5" ht="20.100000000000001" customHeight="1">
      <c r="A12" s="16"/>
      <c r="B12" s="16"/>
      <c r="C12" s="16"/>
      <c r="D12" s="17"/>
      <c r="E12" s="16"/>
    </row>
    <row r="13" spans="1:5" ht="20.100000000000001" customHeight="1">
      <c r="A13" s="747" t="s">
        <v>10</v>
      </c>
      <c r="B13" s="16"/>
      <c r="C13" s="16"/>
      <c r="D13" s="17"/>
      <c r="E13" s="16"/>
    </row>
    <row r="14" spans="1:5" ht="20.100000000000001" customHeight="1">
      <c r="A14" s="747"/>
      <c r="B14" s="16"/>
      <c r="C14" s="16"/>
      <c r="D14" s="16"/>
      <c r="E14" s="16"/>
    </row>
    <row r="15" spans="1:5" ht="20.100000000000001" customHeight="1">
      <c r="A15" s="747"/>
      <c r="B15" s="16"/>
      <c r="C15" s="16"/>
      <c r="D15" s="16"/>
      <c r="E15" s="16"/>
    </row>
    <row r="16" spans="1:5" ht="20.100000000000001" customHeight="1">
      <c r="A16" s="747"/>
      <c r="B16" s="16"/>
      <c r="C16" s="16"/>
      <c r="D16" s="16"/>
      <c r="E16" s="16"/>
    </row>
    <row r="17" spans="1:6" ht="15" customHeight="1">
      <c r="A17" s="9"/>
      <c r="B17" s="3"/>
      <c r="C17" s="3"/>
      <c r="D17" s="3"/>
      <c r="E17" s="3"/>
    </row>
    <row r="18" spans="1:6" ht="15" customHeight="1">
      <c r="A18" s="724"/>
      <c r="B18" s="725"/>
      <c r="C18" s="725"/>
      <c r="D18" s="725"/>
      <c r="E18" s="725"/>
      <c r="F18" s="726"/>
    </row>
    <row r="19" spans="1:6" ht="19.5" customHeight="1">
      <c r="A19" s="724"/>
      <c r="B19" s="725"/>
      <c r="C19" s="725"/>
      <c r="D19" s="725"/>
      <c r="E19" s="725"/>
      <c r="F19" s="72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55" t="s">
        <v>11</v>
      </c>
      <c r="B1" s="750"/>
      <c r="C1" s="750"/>
      <c r="D1" s="750"/>
      <c r="E1" s="750"/>
      <c r="F1" s="750"/>
      <c r="G1" s="750"/>
      <c r="H1" s="750"/>
      <c r="I1" s="750"/>
      <c r="J1" s="750"/>
    </row>
    <row r="2" spans="1:10" s="224" customFormat="1" ht="22.35" customHeight="1">
      <c r="A2" s="755" t="s">
        <v>777</v>
      </c>
      <c r="B2" s="750"/>
      <c r="C2" s="750"/>
      <c r="D2" s="750"/>
      <c r="E2" s="750"/>
      <c r="F2" s="750"/>
      <c r="G2" s="750"/>
      <c r="H2" s="750"/>
      <c r="I2" s="750"/>
      <c r="J2" s="750"/>
    </row>
    <row r="3" spans="1:10" s="224" customFormat="1" ht="22.35" customHeight="1">
      <c r="A3" s="755" t="s">
        <v>12</v>
      </c>
      <c r="B3" s="750"/>
      <c r="C3" s="750"/>
      <c r="D3" s="750"/>
      <c r="E3" s="750"/>
      <c r="F3" s="750"/>
      <c r="G3" s="750"/>
      <c r="H3" s="750"/>
      <c r="I3" s="750"/>
      <c r="J3" s="750"/>
    </row>
    <row r="4" spans="1:10" ht="26.45" customHeight="1">
      <c r="A4" s="756" t="s">
        <v>13</v>
      </c>
      <c r="B4" s="757"/>
      <c r="C4" s="757"/>
      <c r="D4" s="757"/>
      <c r="E4" s="757"/>
      <c r="F4" s="757"/>
      <c r="G4" s="757"/>
      <c r="H4" s="757"/>
      <c r="I4" s="757"/>
      <c r="J4" s="757"/>
    </row>
    <row r="5" spans="1:10">
      <c r="A5" s="224"/>
      <c r="B5" s="224"/>
      <c r="C5" s="224"/>
      <c r="D5" s="224"/>
      <c r="E5" s="224"/>
      <c r="F5" s="224"/>
      <c r="G5" s="224"/>
      <c r="H5" s="224"/>
      <c r="I5" s="224"/>
      <c r="J5" s="224"/>
    </row>
    <row r="6" spans="1:10">
      <c r="A6" s="224"/>
      <c r="B6" s="224"/>
      <c r="C6" s="224"/>
      <c r="D6" s="224"/>
      <c r="E6" s="224"/>
      <c r="F6" s="224"/>
      <c r="G6" s="224"/>
      <c r="H6" s="224"/>
      <c r="I6" s="224"/>
      <c r="J6" s="224"/>
    </row>
    <row r="11" spans="1:10" ht="34.5">
      <c r="A11" s="224"/>
      <c r="B11" s="224"/>
      <c r="C11" s="224"/>
      <c r="D11" s="224"/>
      <c r="E11" s="557"/>
      <c r="F11" s="1"/>
      <c r="G11" s="1"/>
      <c r="H11" s="224"/>
      <c r="I11" s="224"/>
      <c r="J11" s="22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r:id="rId5">
            <anchor moveWithCells="1">
              <from>
                <xdr:col>0</xdr:col>
                <xdr:colOff>0</xdr:colOff>
                <xdr:row>6</xdr:row>
                <xdr:rowOff>0</xdr:rowOff>
              </from>
              <to>
                <xdr:col>0</xdr:col>
                <xdr:colOff>5829300</xdr:colOff>
                <xdr:row>50</xdr:row>
                <xdr:rowOff>142875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sheetPr>
  <dimension ref="A1:BB174"/>
  <sheetViews>
    <sheetView showGridLines="0" zoomScale="90" zoomScaleNormal="9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8" t="s">
        <v>14</v>
      </c>
      <c r="B1" s="1258"/>
      <c r="C1" s="1258"/>
      <c r="D1" s="1258"/>
      <c r="E1" s="18"/>
      <c r="F1" s="19"/>
    </row>
    <row r="2" spans="1:10" ht="33.6" customHeight="1" thickBot="1">
      <c r="A2" s="1259" t="s">
        <v>15</v>
      </c>
      <c r="B2" s="1259"/>
      <c r="C2" s="1259"/>
      <c r="D2" s="1259"/>
      <c r="E2" s="19"/>
    </row>
    <row r="3" spans="1:10" ht="25.35" customHeight="1" thickBot="1">
      <c r="A3" s="75"/>
      <c r="B3" s="76" t="s">
        <v>783</v>
      </c>
      <c r="C3" s="77"/>
      <c r="D3" s="86"/>
      <c r="E3" s="85"/>
      <c r="F3" s="25"/>
    </row>
    <row r="4" spans="1:10" ht="25.35" customHeight="1" thickBot="1">
      <c r="A4" s="75">
        <v>1</v>
      </c>
      <c r="B4" s="62">
        <v>2</v>
      </c>
      <c r="C4" s="62">
        <v>3</v>
      </c>
      <c r="D4" s="62">
        <v>4</v>
      </c>
      <c r="E4" s="66"/>
      <c r="F4" s="25"/>
    </row>
    <row r="5" spans="1:10" ht="44.1" customHeight="1" thickBot="1">
      <c r="A5" s="1199" t="s">
        <v>16</v>
      </c>
      <c r="B5" s="1266" t="s">
        <v>778</v>
      </c>
      <c r="C5" s="1267"/>
      <c r="D5" s="1268"/>
      <c r="E5" s="721"/>
      <c r="F5" s="22"/>
    </row>
    <row r="6" spans="1:10" ht="89.1" customHeight="1" thickBot="1">
      <c r="A6" s="524" t="s">
        <v>17</v>
      </c>
      <c r="B6" s="74" t="s">
        <v>18</v>
      </c>
      <c r="C6" s="90" t="s">
        <v>19</v>
      </c>
      <c r="D6" s="89" t="s">
        <v>20</v>
      </c>
      <c r="E6" s="25"/>
      <c r="F6" s="22"/>
    </row>
    <row r="7" spans="1:10" ht="25.35" customHeight="1">
      <c r="A7" s="523" t="s">
        <v>21</v>
      </c>
      <c r="B7" s="1203">
        <v>37906780</v>
      </c>
      <c r="C7" s="1204">
        <v>7485794</v>
      </c>
      <c r="D7" s="96">
        <f t="shared" ref="D7:D34" si="0">SUM(B7:C7)</f>
        <v>45392574</v>
      </c>
      <c r="E7" s="1205"/>
      <c r="F7" s="555"/>
      <c r="G7" s="57"/>
      <c r="I7" s="57"/>
      <c r="J7" s="57"/>
    </row>
    <row r="8" spans="1:10" ht="25.35" customHeight="1">
      <c r="A8" s="500" t="s">
        <v>22</v>
      </c>
      <c r="B8" s="1206">
        <v>77191852</v>
      </c>
      <c r="C8" s="1207">
        <v>14953668</v>
      </c>
      <c r="D8" s="87">
        <f t="shared" si="0"/>
        <v>92145520</v>
      </c>
      <c r="E8" s="1208"/>
      <c r="F8" s="57"/>
      <c r="G8" s="57"/>
      <c r="I8" s="57"/>
      <c r="J8" s="57"/>
    </row>
    <row r="9" spans="1:10" ht="25.35" customHeight="1">
      <c r="A9" s="500" t="s">
        <v>23</v>
      </c>
      <c r="B9" s="1206">
        <v>25137727</v>
      </c>
      <c r="C9" s="1207">
        <v>4147257</v>
      </c>
      <c r="D9" s="87">
        <f t="shared" si="0"/>
        <v>29284984</v>
      </c>
      <c r="E9" s="1208"/>
      <c r="F9" s="57"/>
      <c r="G9" s="57"/>
      <c r="I9" s="57"/>
      <c r="J9" s="57"/>
    </row>
    <row r="10" spans="1:10" ht="25.35" customHeight="1">
      <c r="A10" s="500" t="s">
        <v>24</v>
      </c>
      <c r="B10" s="1206">
        <v>10122783</v>
      </c>
      <c r="C10" s="1207">
        <v>2430298</v>
      </c>
      <c r="D10" s="87">
        <f t="shared" si="0"/>
        <v>12553081</v>
      </c>
      <c r="E10" s="1208"/>
      <c r="F10" s="57"/>
      <c r="G10" s="57"/>
      <c r="I10" s="57"/>
      <c r="J10" s="57"/>
    </row>
    <row r="11" spans="1:10" ht="25.35" customHeight="1">
      <c r="A11" s="500" t="s">
        <v>25</v>
      </c>
      <c r="B11" s="1206">
        <v>43084116</v>
      </c>
      <c r="C11" s="1207">
        <v>9117159</v>
      </c>
      <c r="D11" s="87">
        <f t="shared" si="0"/>
        <v>52201275</v>
      </c>
      <c r="E11" s="1208"/>
      <c r="F11" s="57"/>
      <c r="G11" s="57"/>
      <c r="I11" s="57"/>
      <c r="J11" s="57"/>
    </row>
    <row r="12" spans="1:10" ht="25.35" customHeight="1">
      <c r="A12" s="500" t="s">
        <v>26</v>
      </c>
      <c r="B12" s="1206">
        <v>31271582</v>
      </c>
      <c r="C12" s="1207">
        <v>5649896</v>
      </c>
      <c r="D12" s="87">
        <f t="shared" si="0"/>
        <v>36921478</v>
      </c>
      <c r="E12" s="1208"/>
      <c r="F12" s="57"/>
      <c r="G12" s="57"/>
      <c r="I12" s="57"/>
      <c r="J12" s="57"/>
    </row>
    <row r="13" spans="1:10" ht="25.35" customHeight="1">
      <c r="A13" s="500" t="s">
        <v>27</v>
      </c>
      <c r="B13" s="1206">
        <v>65269763</v>
      </c>
      <c r="C13" s="1207">
        <v>13606923</v>
      </c>
      <c r="D13" s="87">
        <f t="shared" si="0"/>
        <v>78876686</v>
      </c>
      <c r="E13" s="1208"/>
      <c r="F13" s="57"/>
      <c r="G13" s="57"/>
      <c r="I13" s="57"/>
      <c r="J13" s="57"/>
    </row>
    <row r="14" spans="1:10" ht="25.35" customHeight="1">
      <c r="A14" s="500" t="s">
        <v>28</v>
      </c>
      <c r="B14" s="1206">
        <v>7306183</v>
      </c>
      <c r="C14" s="1207">
        <v>1168674</v>
      </c>
      <c r="D14" s="87">
        <f t="shared" si="0"/>
        <v>8474857</v>
      </c>
      <c r="E14" s="1208"/>
      <c r="F14" s="57"/>
      <c r="G14" s="57"/>
      <c r="I14" s="57"/>
      <c r="J14" s="57"/>
    </row>
    <row r="15" spans="1:10" ht="25.35" customHeight="1">
      <c r="A15" s="500" t="s">
        <v>29</v>
      </c>
      <c r="B15" s="1206">
        <v>20724248</v>
      </c>
      <c r="C15" s="1207">
        <v>3791300</v>
      </c>
      <c r="D15" s="87">
        <f t="shared" si="0"/>
        <v>24515548</v>
      </c>
      <c r="E15" s="1208"/>
      <c r="F15" s="57"/>
      <c r="G15" s="57"/>
      <c r="I15" s="57"/>
      <c r="J15" s="57"/>
    </row>
    <row r="16" spans="1:10" ht="25.35" customHeight="1">
      <c r="A16" s="500" t="s">
        <v>30</v>
      </c>
      <c r="B16" s="1206">
        <v>61643784</v>
      </c>
      <c r="C16" s="1207">
        <v>9784781</v>
      </c>
      <c r="D16" s="87">
        <f t="shared" si="0"/>
        <v>71428565</v>
      </c>
      <c r="E16" s="1208"/>
      <c r="F16" s="57"/>
      <c r="G16" s="57"/>
      <c r="I16" s="57"/>
      <c r="J16" s="57"/>
    </row>
    <row r="17" spans="1:10" ht="25.35" customHeight="1">
      <c r="A17" s="500" t="s">
        <v>31</v>
      </c>
      <c r="B17" s="1206">
        <v>43222200</v>
      </c>
      <c r="C17" s="1207">
        <v>8200771</v>
      </c>
      <c r="D17" s="87">
        <f t="shared" si="0"/>
        <v>51422971</v>
      </c>
      <c r="E17" s="1208"/>
      <c r="F17" s="57"/>
      <c r="G17" s="57"/>
      <c r="I17" s="57"/>
      <c r="J17" s="57"/>
    </row>
    <row r="18" spans="1:10" ht="25.35" customHeight="1">
      <c r="A18" s="500" t="s">
        <v>32</v>
      </c>
      <c r="B18" s="1206">
        <v>12343150</v>
      </c>
      <c r="C18" s="1207">
        <v>2397283</v>
      </c>
      <c r="D18" s="87">
        <f t="shared" si="0"/>
        <v>14740433</v>
      </c>
      <c r="E18" s="1208"/>
      <c r="F18" s="57"/>
      <c r="G18" s="57"/>
      <c r="I18" s="57"/>
      <c r="J18" s="57"/>
    </row>
    <row r="19" spans="1:10" ht="25.35" customHeight="1">
      <c r="A19" s="500" t="s">
        <v>33</v>
      </c>
      <c r="B19" s="1206">
        <v>13071677</v>
      </c>
      <c r="C19" s="1207">
        <v>2317578</v>
      </c>
      <c r="D19" s="87">
        <f t="shared" si="0"/>
        <v>15389255</v>
      </c>
      <c r="E19" s="1208"/>
      <c r="F19" s="57"/>
      <c r="G19" s="57"/>
      <c r="I19" s="57"/>
      <c r="J19" s="57"/>
    </row>
    <row r="20" spans="1:10" ht="25.35" customHeight="1">
      <c r="A20" s="500" t="s">
        <v>34</v>
      </c>
      <c r="B20" s="1206">
        <f>22363091-250000</f>
        <v>22113091</v>
      </c>
      <c r="C20" s="1207">
        <v>3901568</v>
      </c>
      <c r="D20" s="87">
        <f t="shared" si="0"/>
        <v>26014659</v>
      </c>
      <c r="E20" s="1208"/>
      <c r="F20" s="57"/>
      <c r="G20" s="57"/>
      <c r="I20" s="57"/>
      <c r="J20" s="57"/>
    </row>
    <row r="21" spans="1:10" ht="25.35" customHeight="1">
      <c r="A21" s="500" t="s">
        <v>35</v>
      </c>
      <c r="B21" s="1206">
        <v>148245620</v>
      </c>
      <c r="C21" s="1207">
        <v>30660327</v>
      </c>
      <c r="D21" s="87">
        <f t="shared" si="0"/>
        <v>178905947</v>
      </c>
      <c r="E21" s="1208"/>
      <c r="F21" s="57"/>
      <c r="G21" s="57"/>
      <c r="I21" s="57"/>
      <c r="J21" s="57"/>
    </row>
    <row r="22" spans="1:10" ht="25.35" customHeight="1">
      <c r="A22" s="500" t="s">
        <v>36</v>
      </c>
      <c r="B22" s="1206">
        <v>6918250</v>
      </c>
      <c r="C22" s="1207">
        <v>1263365</v>
      </c>
      <c r="D22" s="87">
        <f t="shared" si="0"/>
        <v>8181615</v>
      </c>
      <c r="E22" s="1208"/>
      <c r="F22" s="57"/>
      <c r="G22" s="57"/>
      <c r="I22" s="57"/>
      <c r="J22" s="57"/>
    </row>
    <row r="23" spans="1:10" ht="25.35" customHeight="1">
      <c r="A23" s="500" t="s">
        <v>37</v>
      </c>
      <c r="B23" s="1206">
        <v>17140914</v>
      </c>
      <c r="C23" s="1207">
        <v>3384175</v>
      </c>
      <c r="D23" s="87">
        <f t="shared" si="0"/>
        <v>20525089</v>
      </c>
      <c r="E23" s="1208"/>
      <c r="F23" s="57"/>
      <c r="G23" s="57"/>
      <c r="I23" s="57"/>
      <c r="J23" s="57"/>
    </row>
    <row r="24" spans="1:10" ht="25.35" customHeight="1">
      <c r="A24" s="500" t="s">
        <v>38</v>
      </c>
      <c r="B24" s="1206">
        <v>58017036</v>
      </c>
      <c r="C24" s="1207">
        <v>9949475</v>
      </c>
      <c r="D24" s="87">
        <f t="shared" si="0"/>
        <v>67966511</v>
      </c>
      <c r="E24" s="1208"/>
      <c r="F24" s="57"/>
      <c r="G24" s="57"/>
      <c r="I24" s="57"/>
      <c r="J24" s="57"/>
    </row>
    <row r="25" spans="1:10" ht="25.35" customHeight="1">
      <c r="A25" s="500" t="s">
        <v>39</v>
      </c>
      <c r="B25" s="1206">
        <f>33552231-1000000</f>
        <v>32552231</v>
      </c>
      <c r="C25" s="1207">
        <v>4621140</v>
      </c>
      <c r="D25" s="87">
        <f t="shared" si="0"/>
        <v>37173371</v>
      </c>
      <c r="E25" s="1208"/>
      <c r="F25" s="57"/>
      <c r="G25" s="57"/>
      <c r="I25" s="57"/>
      <c r="J25" s="57"/>
    </row>
    <row r="26" spans="1:10" ht="25.35" customHeight="1">
      <c r="A26" s="500" t="s">
        <v>40</v>
      </c>
      <c r="B26" s="1206">
        <v>32146954</v>
      </c>
      <c r="C26" s="1207">
        <v>6062173</v>
      </c>
      <c r="D26" s="87">
        <f t="shared" si="0"/>
        <v>38209127</v>
      </c>
      <c r="E26" s="1208"/>
      <c r="F26" s="57"/>
      <c r="G26" s="57"/>
      <c r="I26" s="57"/>
      <c r="J26" s="57"/>
    </row>
    <row r="27" spans="1:10" ht="25.35" customHeight="1">
      <c r="A27" s="500" t="s">
        <v>41</v>
      </c>
      <c r="B27" s="1206">
        <v>34006344</v>
      </c>
      <c r="C27" s="1207">
        <v>4660748</v>
      </c>
      <c r="D27" s="87">
        <f t="shared" si="0"/>
        <v>38667092</v>
      </c>
      <c r="E27" s="1208"/>
      <c r="F27" s="57"/>
      <c r="G27" s="57"/>
      <c r="I27" s="57"/>
      <c r="J27" s="57"/>
    </row>
    <row r="28" spans="1:10" ht="25.35" customHeight="1">
      <c r="A28" s="500" t="s">
        <v>42</v>
      </c>
      <c r="B28" s="1206">
        <v>21776932</v>
      </c>
      <c r="C28" s="1207">
        <v>3236588</v>
      </c>
      <c r="D28" s="87">
        <f t="shared" si="0"/>
        <v>25013520</v>
      </c>
      <c r="E28" s="1208"/>
      <c r="F28" s="57"/>
      <c r="G28" s="57"/>
      <c r="I28" s="57"/>
      <c r="J28" s="57"/>
    </row>
    <row r="29" spans="1:10" ht="25.35" customHeight="1">
      <c r="A29" s="500" t="s">
        <v>43</v>
      </c>
      <c r="B29" s="1206">
        <f>66706554-674484</f>
        <v>66032070</v>
      </c>
      <c r="C29" s="1207">
        <v>12104813</v>
      </c>
      <c r="D29" s="87">
        <f t="shared" si="0"/>
        <v>78136883</v>
      </c>
      <c r="E29" s="1208"/>
      <c r="F29" s="57"/>
      <c r="G29" s="57"/>
      <c r="I29" s="57"/>
      <c r="J29" s="57"/>
    </row>
    <row r="30" spans="1:10" ht="25.35" customHeight="1">
      <c r="A30" s="500" t="s">
        <v>44</v>
      </c>
      <c r="B30" s="1206">
        <v>38518774</v>
      </c>
      <c r="C30" s="1207">
        <v>5933828</v>
      </c>
      <c r="D30" s="87">
        <f t="shared" si="0"/>
        <v>44452602</v>
      </c>
      <c r="E30" s="1208"/>
      <c r="F30" s="57"/>
      <c r="G30" s="57"/>
      <c r="I30" s="57"/>
      <c r="J30" s="57"/>
    </row>
    <row r="31" spans="1:10" ht="25.35" customHeight="1">
      <c r="A31" s="500" t="s">
        <v>45</v>
      </c>
      <c r="B31" s="1206">
        <v>40112438</v>
      </c>
      <c r="C31" s="1207">
        <v>6458496</v>
      </c>
      <c r="D31" s="87">
        <f t="shared" si="0"/>
        <v>46570934</v>
      </c>
      <c r="E31" s="1208"/>
      <c r="F31" s="57"/>
      <c r="G31" s="57"/>
      <c r="I31" s="57"/>
      <c r="J31" s="57"/>
    </row>
    <row r="32" spans="1:10" ht="25.35" customHeight="1">
      <c r="A32" s="500" t="s">
        <v>46</v>
      </c>
      <c r="B32" s="1206">
        <v>17437031</v>
      </c>
      <c r="C32" s="1207">
        <v>2799758</v>
      </c>
      <c r="D32" s="87">
        <f t="shared" si="0"/>
        <v>20236789</v>
      </c>
      <c r="E32" s="1208"/>
      <c r="F32" s="57"/>
      <c r="G32" s="57"/>
      <c r="I32" s="57" t="s">
        <v>47</v>
      </c>
      <c r="J32" s="57"/>
    </row>
    <row r="33" spans="1:21" ht="25.35" customHeight="1">
      <c r="A33" s="500" t="s">
        <v>48</v>
      </c>
      <c r="B33" s="1206">
        <f>29269153-50000</f>
        <v>29219153</v>
      </c>
      <c r="C33" s="1207">
        <v>5576841</v>
      </c>
      <c r="D33" s="87">
        <f t="shared" si="0"/>
        <v>34795994</v>
      </c>
      <c r="E33" s="1208"/>
      <c r="F33" s="57"/>
      <c r="G33" s="57"/>
      <c r="I33" s="1208"/>
      <c r="J33" s="57"/>
      <c r="K33" s="1208"/>
    </row>
    <row r="34" spans="1:21" ht="25.35" customHeight="1" thickBot="1">
      <c r="A34" s="501" t="s">
        <v>49</v>
      </c>
      <c r="B34" s="1206">
        <f>84933611-1000000</f>
        <v>83933611</v>
      </c>
      <c r="C34" s="1207">
        <v>11267752</v>
      </c>
      <c r="D34" s="88">
        <f t="shared" si="0"/>
        <v>95201363</v>
      </c>
      <c r="E34" s="1208"/>
      <c r="F34" s="57"/>
      <c r="G34" s="57"/>
      <c r="I34" s="1208"/>
      <c r="J34" s="57"/>
      <c r="K34" s="1208"/>
    </row>
    <row r="35" spans="1:21" ht="25.35" customHeight="1" thickBot="1">
      <c r="A35" s="502" t="s">
        <v>50</v>
      </c>
      <c r="B35" s="552">
        <f>SUM(B7:B34)</f>
        <v>1096466294</v>
      </c>
      <c r="C35" s="553">
        <f>SUM(C7:C34)</f>
        <v>196932429</v>
      </c>
      <c r="D35" s="517">
        <f>SUM(D7:D34)</f>
        <v>1293398723</v>
      </c>
      <c r="E35" s="1209"/>
      <c r="F35" s="58"/>
      <c r="G35" s="57"/>
      <c r="H35" s="57"/>
      <c r="I35" s="1208"/>
      <c r="J35" s="57"/>
      <c r="K35" s="1208"/>
      <c r="L35" s="528"/>
    </row>
    <row r="36" spans="1:21" ht="19.350000000000001" customHeight="1">
      <c r="A36" s="1270" t="s">
        <v>51</v>
      </c>
      <c r="B36" s="1270"/>
      <c r="C36" s="1270"/>
      <c r="D36" s="1270"/>
      <c r="E36" s="1210"/>
      <c r="F36" s="24"/>
      <c r="K36" s="1208"/>
    </row>
    <row r="37" spans="1:21" ht="44.45" customHeight="1">
      <c r="A37" s="1269" t="s">
        <v>745</v>
      </c>
      <c r="B37" s="1269"/>
      <c r="C37" s="1269"/>
      <c r="D37" s="1269"/>
      <c r="E37" s="602"/>
      <c r="F37" s="24"/>
      <c r="K37" s="1208"/>
    </row>
    <row r="38" spans="1:21" ht="26.45" customHeight="1">
      <c r="A38" s="1200"/>
      <c r="B38" s="1200"/>
      <c r="C38" s="1200"/>
      <c r="D38" s="1200"/>
      <c r="E38" s="602"/>
      <c r="F38" s="24"/>
      <c r="K38" s="1208"/>
    </row>
    <row r="39" spans="1:21" ht="36.6" customHeight="1" thickBot="1">
      <c r="A39" s="596" t="s">
        <v>15</v>
      </c>
      <c r="B39" s="597"/>
      <c r="C39" s="597"/>
      <c r="D39" s="27"/>
      <c r="E39" s="19"/>
      <c r="F39" s="19"/>
      <c r="G39" s="24"/>
      <c r="H39" s="24"/>
      <c r="I39" s="24"/>
      <c r="J39" s="24"/>
      <c r="K39" s="1211"/>
      <c r="L39" s="24"/>
      <c r="M39" s="24"/>
      <c r="N39" s="24"/>
      <c r="O39" s="24"/>
      <c r="P39" s="24"/>
      <c r="Q39" s="24"/>
      <c r="R39" s="24"/>
      <c r="S39" s="24"/>
      <c r="T39" s="24"/>
      <c r="U39" s="24"/>
    </row>
    <row r="40" spans="1:21" ht="24" customHeight="1" thickBot="1">
      <c r="A40" s="1198" t="s">
        <v>746</v>
      </c>
      <c r="B40" s="1107" t="s">
        <v>784</v>
      </c>
      <c r="C40" s="1108"/>
      <c r="D40" s="1108"/>
      <c r="E40" s="1109"/>
      <c r="F40" s="20" t="s">
        <v>10</v>
      </c>
      <c r="I40" s="24"/>
      <c r="J40" s="24"/>
      <c r="K40" s="1211"/>
      <c r="M40" s="24"/>
      <c r="N40" s="24"/>
    </row>
    <row r="41" spans="1:21" ht="22.35" customHeight="1" thickBot="1">
      <c r="A41" s="54">
        <v>1</v>
      </c>
      <c r="B41" s="62">
        <v>2</v>
      </c>
      <c r="C41" s="62">
        <v>3</v>
      </c>
      <c r="D41" s="62">
        <v>4</v>
      </c>
      <c r="E41" s="62">
        <v>5</v>
      </c>
      <c r="I41" s="24"/>
      <c r="J41" s="24"/>
      <c r="K41" s="24"/>
      <c r="M41" s="24"/>
      <c r="N41" s="24"/>
    </row>
    <row r="42" spans="1:21" ht="24.6" customHeight="1" thickBot="1">
      <c r="A42" s="50" t="s">
        <v>17</v>
      </c>
      <c r="B42" s="59" t="s">
        <v>52</v>
      </c>
      <c r="C42" s="60" t="s">
        <v>53</v>
      </c>
      <c r="D42" s="61" t="s">
        <v>54</v>
      </c>
      <c r="E42" s="503" t="s">
        <v>55</v>
      </c>
      <c r="G42" s="25"/>
    </row>
    <row r="43" spans="1:21" ht="42">
      <c r="A43" s="1113" t="str">
        <f>A10</f>
        <v>Chipola College</v>
      </c>
      <c r="B43" s="1212" t="s">
        <v>56</v>
      </c>
      <c r="C43" s="1213">
        <v>200000</v>
      </c>
      <c r="D43" s="1213"/>
      <c r="E43" s="1111">
        <f t="shared" ref="E43:E51" si="1">C43+D43</f>
        <v>200000</v>
      </c>
    </row>
    <row r="44" spans="1:21" ht="42">
      <c r="A44" s="1114" t="str">
        <f>A11</f>
        <v>Daytona State College</v>
      </c>
      <c r="B44" s="1214" t="s">
        <v>57</v>
      </c>
      <c r="C44" s="1213">
        <v>500000</v>
      </c>
      <c r="D44" s="1213"/>
      <c r="E44" s="1111">
        <f t="shared" si="1"/>
        <v>500000</v>
      </c>
      <c r="H44" s="24"/>
    </row>
    <row r="45" spans="1:21" ht="43.35" customHeight="1">
      <c r="A45" s="1112" t="s">
        <v>25</v>
      </c>
      <c r="B45" s="1214" t="s">
        <v>58</v>
      </c>
      <c r="C45" s="1213"/>
      <c r="D45" s="1213">
        <v>200000</v>
      </c>
      <c r="E45" s="1111">
        <f t="shared" si="1"/>
        <v>200000</v>
      </c>
      <c r="H45" s="24"/>
    </row>
    <row r="46" spans="1:21" ht="62.45" customHeight="1">
      <c r="A46" s="1112" t="s">
        <v>30</v>
      </c>
      <c r="B46" s="1214" t="s">
        <v>59</v>
      </c>
      <c r="C46" s="1213">
        <v>2500000</v>
      </c>
      <c r="D46" s="1213"/>
      <c r="E46" s="1111">
        <f t="shared" si="1"/>
        <v>2500000</v>
      </c>
      <c r="H46" s="24"/>
    </row>
    <row r="47" spans="1:21">
      <c r="A47" s="1112" t="str">
        <f>A25</f>
        <v>Pasco-Hernando State College</v>
      </c>
      <c r="B47" s="1214" t="s">
        <v>60</v>
      </c>
      <c r="C47" s="1213">
        <v>2306271</v>
      </c>
      <c r="D47" s="1213"/>
      <c r="E47" s="1111">
        <f>C47+D47</f>
        <v>2306271</v>
      </c>
      <c r="H47" s="24"/>
    </row>
    <row r="48" spans="1:21" ht="42">
      <c r="A48" s="1115" t="s">
        <v>43</v>
      </c>
      <c r="B48" s="1214" t="s">
        <v>749</v>
      </c>
      <c r="C48" s="1213"/>
      <c r="D48" s="1213">
        <v>510000</v>
      </c>
      <c r="E48" s="1111">
        <f t="shared" ref="E48:E49" si="2">C48+D48</f>
        <v>510000</v>
      </c>
      <c r="H48" s="24"/>
    </row>
    <row r="49" spans="1:8" ht="42">
      <c r="A49" s="1115" t="s">
        <v>751</v>
      </c>
      <c r="B49" s="1214" t="s">
        <v>750</v>
      </c>
      <c r="C49" s="1213"/>
      <c r="D49" s="1213">
        <v>250000</v>
      </c>
      <c r="E49" s="1111">
        <f t="shared" si="2"/>
        <v>250000</v>
      </c>
      <c r="H49" s="24"/>
    </row>
    <row r="50" spans="1:8" ht="62.45" customHeight="1">
      <c r="A50" s="1115" t="s">
        <v>46</v>
      </c>
      <c r="B50" s="1214" t="s">
        <v>736</v>
      </c>
      <c r="C50" s="1213"/>
      <c r="D50" s="1213">
        <v>1000000</v>
      </c>
      <c r="E50" s="1111">
        <f t="shared" si="1"/>
        <v>1000000</v>
      </c>
      <c r="H50" s="24"/>
    </row>
    <row r="51" spans="1:8" ht="86.25" customHeight="1" thickBot="1">
      <c r="A51" s="1115" t="s">
        <v>61</v>
      </c>
      <c r="B51" s="723" t="s">
        <v>62</v>
      </c>
      <c r="C51" s="1215"/>
      <c r="D51" s="1215">
        <v>500000</v>
      </c>
      <c r="E51" s="1111">
        <f t="shared" si="1"/>
        <v>500000</v>
      </c>
      <c r="H51" s="24"/>
    </row>
    <row r="52" spans="1:8" ht="24.6" customHeight="1" thickBot="1">
      <c r="A52" s="78" t="s">
        <v>55</v>
      </c>
      <c r="B52" s="499"/>
      <c r="C52" s="550">
        <f>SUM(C43:C51)</f>
        <v>5506271</v>
      </c>
      <c r="D52" s="550">
        <f>SUM(D43:D51)</f>
        <v>2460000</v>
      </c>
      <c r="E52" s="551">
        <f>SUM(E43:E51)</f>
        <v>7966271</v>
      </c>
      <c r="H52" s="24"/>
    </row>
    <row r="53" spans="1:8" ht="25.35" customHeight="1">
      <c r="A53" s="20" t="s">
        <v>63</v>
      </c>
      <c r="H53" s="24"/>
    </row>
    <row r="54" spans="1:8" ht="25.35" customHeight="1">
      <c r="D54" s="57"/>
      <c r="H54" s="24"/>
    </row>
    <row r="55" spans="1:8" ht="30.6" customHeight="1" thickBot="1">
      <c r="A55" s="596" t="s">
        <v>15</v>
      </c>
      <c r="B55" s="597"/>
      <c r="C55" s="597"/>
      <c r="D55" s="27"/>
      <c r="E55" s="19"/>
      <c r="H55" s="24"/>
    </row>
    <row r="56" spans="1:8" ht="41.1" customHeight="1" thickBot="1">
      <c r="A56" s="54" t="s">
        <v>739</v>
      </c>
      <c r="B56" s="504" t="str">
        <f>B3</f>
        <v>Date Updated:   06.02.21    BY:  EN</v>
      </c>
      <c r="C56" s="51" t="s">
        <v>10</v>
      </c>
      <c r="D56" s="51"/>
      <c r="F56" s="24"/>
      <c r="G56" s="24"/>
      <c r="H56" s="24"/>
    </row>
    <row r="57" spans="1:8" ht="45" customHeight="1" thickBot="1">
      <c r="A57" s="1260" t="s">
        <v>752</v>
      </c>
      <c r="B57" s="1261"/>
      <c r="C57" s="505"/>
      <c r="H57" s="24"/>
    </row>
    <row r="58" spans="1:8" ht="37.35" customHeight="1" thickBot="1">
      <c r="A58" s="463" t="s">
        <v>17</v>
      </c>
      <c r="B58" s="581" t="s">
        <v>50</v>
      </c>
      <c r="C58" s="25"/>
      <c r="D58" s="28"/>
      <c r="H58" s="24"/>
    </row>
    <row r="59" spans="1:8" ht="25.35" customHeight="1">
      <c r="A59" s="525" t="str">
        <f>A11</f>
        <v>Daytona State College</v>
      </c>
      <c r="B59" s="1216">
        <v>70000</v>
      </c>
      <c r="C59" s="506"/>
      <c r="H59" s="24"/>
    </row>
    <row r="60" spans="1:8" ht="25.35" customHeight="1" thickBot="1">
      <c r="A60" s="527" t="str">
        <f>A33</f>
        <v>Tallahassee Community College</v>
      </c>
      <c r="B60" s="598">
        <v>25000</v>
      </c>
      <c r="C60" s="506"/>
      <c r="H60" s="24"/>
    </row>
    <row r="61" spans="1:8" ht="25.35" customHeight="1" thickBot="1">
      <c r="A61" s="493" t="s">
        <v>50</v>
      </c>
      <c r="B61" s="599">
        <f>SUM(B59:B60)</f>
        <v>95000</v>
      </c>
      <c r="C61" s="507"/>
    </row>
    <row r="62" spans="1:8" ht="24.6" customHeight="1">
      <c r="A62" s="604"/>
      <c r="B62" s="603"/>
      <c r="C62" s="603"/>
      <c r="D62" s="24"/>
      <c r="E62" s="24"/>
      <c r="F62" s="24"/>
      <c r="G62" s="19"/>
      <c r="H62" s="24"/>
    </row>
    <row r="63" spans="1:8" ht="32.1" customHeight="1" thickBot="1">
      <c r="A63" s="596" t="s">
        <v>64</v>
      </c>
      <c r="B63" s="597"/>
      <c r="C63" s="597"/>
      <c r="D63" s="27"/>
      <c r="E63" s="19"/>
      <c r="F63" s="24"/>
      <c r="G63" s="19"/>
      <c r="H63" s="24"/>
    </row>
    <row r="64" spans="1:8" ht="44.45" customHeight="1" thickBot="1">
      <c r="A64" s="47" t="s">
        <v>747</v>
      </c>
      <c r="B64" s="1262" t="str">
        <f>B3</f>
        <v>Date Updated:   06.02.21    BY:  EN</v>
      </c>
      <c r="C64" s="1263"/>
      <c r="D64" s="1263"/>
      <c r="E64" s="1264"/>
      <c r="F64" s="21"/>
      <c r="G64" s="51"/>
      <c r="H64" s="24"/>
    </row>
    <row r="65" spans="1:13" ht="87.6" customHeight="1" thickBot="1">
      <c r="A65" s="50" t="s">
        <v>17</v>
      </c>
      <c r="B65" s="30" t="s">
        <v>748</v>
      </c>
      <c r="C65" s="49" t="s">
        <v>65</v>
      </c>
      <c r="D65" s="31" t="s">
        <v>66</v>
      </c>
      <c r="E65" s="32" t="s">
        <v>67</v>
      </c>
      <c r="F65" s="30" t="s">
        <v>68</v>
      </c>
      <c r="G65" s="25"/>
      <c r="H65" s="24"/>
    </row>
    <row r="66" spans="1:13" ht="25.35" customHeight="1">
      <c r="A66" s="763" t="str">
        <f t="shared" ref="A66:A93" si="3">A7</f>
        <v>Eastern Florida State College</v>
      </c>
      <c r="B66" s="529">
        <v>21284458.156083297</v>
      </c>
      <c r="C66" s="529">
        <f t="shared" ref="C66:C93" si="4">B66*0.05</f>
        <v>1064222.9078041648</v>
      </c>
      <c r="D66" s="530">
        <f t="shared" ref="D66:D93" si="5">IF(C66&gt;500000,0,1)</f>
        <v>0</v>
      </c>
      <c r="E66" s="530">
        <f t="shared" ref="E66:E93" si="6">IF(D66&lt;1,0,B66*0.02)</f>
        <v>0</v>
      </c>
      <c r="F66" s="529">
        <f>C66+E66</f>
        <v>1064222.9078041648</v>
      </c>
      <c r="H66" s="24"/>
      <c r="I66" s="24"/>
      <c r="J66" s="24"/>
      <c r="K66" s="24"/>
      <c r="L66" s="24"/>
      <c r="M66" s="24"/>
    </row>
    <row r="67" spans="1:13" ht="25.35" customHeight="1">
      <c r="A67" s="764" t="str">
        <f t="shared" si="3"/>
        <v>Broward College</v>
      </c>
      <c r="B67" s="23">
        <v>62052258.614316523</v>
      </c>
      <c r="C67" s="23">
        <f t="shared" si="4"/>
        <v>3102612.9307158263</v>
      </c>
      <c r="D67" s="23">
        <f t="shared" si="5"/>
        <v>0</v>
      </c>
      <c r="E67" s="23">
        <f t="shared" si="6"/>
        <v>0</v>
      </c>
      <c r="F67" s="23">
        <f t="shared" ref="F67:F93" si="7">C67+E67</f>
        <v>3102612.9307158263</v>
      </c>
    </row>
    <row r="68" spans="1:13" ht="25.35" customHeight="1">
      <c r="A68" s="764" t="str">
        <f t="shared" si="3"/>
        <v>College of Central Florida</v>
      </c>
      <c r="B68" s="23">
        <v>11430903.444088852</v>
      </c>
      <c r="C68" s="23">
        <f t="shared" si="4"/>
        <v>571545.17220444267</v>
      </c>
      <c r="D68" s="23">
        <f t="shared" si="5"/>
        <v>0</v>
      </c>
      <c r="E68" s="23">
        <f t="shared" si="6"/>
        <v>0</v>
      </c>
      <c r="F68" s="23">
        <f t="shared" si="7"/>
        <v>571545.17220444267</v>
      </c>
    </row>
    <row r="69" spans="1:13" ht="25.35" customHeight="1">
      <c r="A69" s="765" t="str">
        <f t="shared" si="3"/>
        <v>Chipola College</v>
      </c>
      <c r="B69" s="490">
        <v>2619373.6706896927</v>
      </c>
      <c r="C69" s="490">
        <f t="shared" si="4"/>
        <v>130968.68353448465</v>
      </c>
      <c r="D69" s="490">
        <f t="shared" si="5"/>
        <v>1</v>
      </c>
      <c r="E69" s="490">
        <f t="shared" si="6"/>
        <v>52387.473413793858</v>
      </c>
      <c r="F69" s="490">
        <f t="shared" si="7"/>
        <v>183356.15694827851</v>
      </c>
    </row>
    <row r="70" spans="1:13" ht="25.35" customHeight="1">
      <c r="A70" s="764" t="str">
        <f t="shared" si="3"/>
        <v>Daytona State College</v>
      </c>
      <c r="B70" s="23">
        <v>22641204.515322424</v>
      </c>
      <c r="C70" s="23">
        <f t="shared" si="4"/>
        <v>1132060.2257661212</v>
      </c>
      <c r="D70" s="23">
        <f t="shared" si="5"/>
        <v>0</v>
      </c>
      <c r="E70" s="23">
        <f t="shared" si="6"/>
        <v>0</v>
      </c>
      <c r="F70" s="23">
        <f t="shared" si="7"/>
        <v>1132060.2257661212</v>
      </c>
    </row>
    <row r="71" spans="1:13" ht="25.35" customHeight="1">
      <c r="A71" s="764" t="str">
        <f t="shared" si="3"/>
        <v>Florida SouthWestern State College</v>
      </c>
      <c r="B71" s="23">
        <v>22981782.861629281</v>
      </c>
      <c r="C71" s="23">
        <f t="shared" si="4"/>
        <v>1149089.1430814641</v>
      </c>
      <c r="D71" s="23">
        <f t="shared" si="5"/>
        <v>0</v>
      </c>
      <c r="E71" s="23">
        <f t="shared" si="6"/>
        <v>0</v>
      </c>
      <c r="F71" s="23">
        <f t="shared" si="7"/>
        <v>1149089.1430814641</v>
      </c>
    </row>
    <row r="72" spans="1:13" ht="25.35" customHeight="1">
      <c r="A72" s="764" t="str">
        <f t="shared" si="3"/>
        <v>Florida State College at Jacksonville</v>
      </c>
      <c r="B72" s="23">
        <v>40800402.105342247</v>
      </c>
      <c r="C72" s="23">
        <f t="shared" si="4"/>
        <v>2040020.1052671124</v>
      </c>
      <c r="D72" s="23">
        <f t="shared" si="5"/>
        <v>0</v>
      </c>
      <c r="E72" s="23">
        <f t="shared" si="6"/>
        <v>0</v>
      </c>
      <c r="F72" s="23">
        <f t="shared" si="7"/>
        <v>2040020.1052671124</v>
      </c>
    </row>
    <row r="73" spans="1:13" ht="25.35" customHeight="1">
      <c r="A73" s="765" t="str">
        <f t="shared" si="3"/>
        <v>College of the Florida Keys</v>
      </c>
      <c r="B73" s="490">
        <v>2162647.2571190572</v>
      </c>
      <c r="C73" s="490">
        <f t="shared" si="4"/>
        <v>108132.36285595287</v>
      </c>
      <c r="D73" s="490">
        <f t="shared" si="5"/>
        <v>1</v>
      </c>
      <c r="E73" s="490">
        <f t="shared" si="6"/>
        <v>43252.945142381148</v>
      </c>
      <c r="F73" s="490">
        <f t="shared" si="7"/>
        <v>151385.30799833403</v>
      </c>
    </row>
    <row r="74" spans="1:13" ht="25.35" customHeight="1">
      <c r="A74" s="765" t="str">
        <f t="shared" si="3"/>
        <v>Gulf Coast State College</v>
      </c>
      <c r="B74" s="490">
        <v>6480705.8220794136</v>
      </c>
      <c r="C74" s="490">
        <f t="shared" si="4"/>
        <v>324035.29110397073</v>
      </c>
      <c r="D74" s="490">
        <f t="shared" si="5"/>
        <v>1</v>
      </c>
      <c r="E74" s="490">
        <f t="shared" si="6"/>
        <v>129614.11644158828</v>
      </c>
      <c r="F74" s="490">
        <f t="shared" si="7"/>
        <v>453649.40754555899</v>
      </c>
    </row>
    <row r="75" spans="1:13" ht="25.35" customHeight="1">
      <c r="A75" s="764" t="str">
        <f t="shared" si="3"/>
        <v>Hillsborough Community College</v>
      </c>
      <c r="B75" s="23">
        <v>42507706.290374637</v>
      </c>
      <c r="C75" s="23">
        <f>B75*0.05</f>
        <v>2125385.314518732</v>
      </c>
      <c r="D75" s="23">
        <f t="shared" si="5"/>
        <v>0</v>
      </c>
      <c r="E75" s="23">
        <f t="shared" si="6"/>
        <v>0</v>
      </c>
      <c r="F75" s="23">
        <f t="shared" si="7"/>
        <v>2125385.314518732</v>
      </c>
    </row>
    <row r="76" spans="1:13" ht="25.35" customHeight="1">
      <c r="A76" s="764" t="str">
        <f t="shared" si="3"/>
        <v>Indian River State College</v>
      </c>
      <c r="B76" s="23">
        <v>22530159.665811967</v>
      </c>
      <c r="C76" s="23">
        <f t="shared" si="4"/>
        <v>1126507.9832905985</v>
      </c>
      <c r="D76" s="23">
        <f t="shared" si="5"/>
        <v>0</v>
      </c>
      <c r="E76" s="23">
        <f t="shared" si="6"/>
        <v>0</v>
      </c>
      <c r="F76" s="23">
        <f t="shared" si="7"/>
        <v>1126507.9832905985</v>
      </c>
    </row>
    <row r="77" spans="1:13" ht="25.35" customHeight="1">
      <c r="A77" s="765" t="str">
        <f t="shared" si="3"/>
        <v>Florida Gateway College</v>
      </c>
      <c r="B77" s="490">
        <v>4481911.4490397088</v>
      </c>
      <c r="C77" s="490">
        <f t="shared" si="4"/>
        <v>224095.57245198544</v>
      </c>
      <c r="D77" s="490">
        <f t="shared" si="5"/>
        <v>1</v>
      </c>
      <c r="E77" s="490">
        <f t="shared" si="6"/>
        <v>89638.228980794185</v>
      </c>
      <c r="F77" s="490">
        <f t="shared" si="7"/>
        <v>313733.80143277964</v>
      </c>
    </row>
    <row r="78" spans="1:13" ht="25.35" customHeight="1">
      <c r="A78" s="765" t="str">
        <f t="shared" si="3"/>
        <v>Lake-Sumter State College</v>
      </c>
      <c r="B78" s="490">
        <v>6298409.6561406534</v>
      </c>
      <c r="C78" s="490">
        <f t="shared" si="4"/>
        <v>314920.48280703271</v>
      </c>
      <c r="D78" s="490">
        <f t="shared" si="5"/>
        <v>1</v>
      </c>
      <c r="E78" s="490">
        <f t="shared" si="6"/>
        <v>125968.19312281307</v>
      </c>
      <c r="F78" s="490">
        <f t="shared" si="7"/>
        <v>440888.67592984578</v>
      </c>
    </row>
    <row r="79" spans="1:13" ht="25.35" customHeight="1">
      <c r="A79" s="764" t="str">
        <f t="shared" si="3"/>
        <v>State College of Florida, Manatee-Sarasota</v>
      </c>
      <c r="B79" s="23">
        <v>16992880.391009208</v>
      </c>
      <c r="C79" s="23">
        <f t="shared" si="4"/>
        <v>849644.01955046039</v>
      </c>
      <c r="D79" s="23">
        <f t="shared" si="5"/>
        <v>0</v>
      </c>
      <c r="E79" s="23">
        <f t="shared" si="6"/>
        <v>0</v>
      </c>
      <c r="F79" s="23">
        <f t="shared" si="7"/>
        <v>849644.01955046039</v>
      </c>
    </row>
    <row r="80" spans="1:13" ht="25.35" customHeight="1">
      <c r="A80" s="764" t="str">
        <f t="shared" si="3"/>
        <v>Miami Dade College</v>
      </c>
      <c r="B80" s="23">
        <v>111081186.3566457</v>
      </c>
      <c r="C80" s="23">
        <f t="shared" si="4"/>
        <v>5554059.3178322855</v>
      </c>
      <c r="D80" s="23">
        <f t="shared" si="5"/>
        <v>0</v>
      </c>
      <c r="E80" s="23">
        <f t="shared" si="6"/>
        <v>0</v>
      </c>
      <c r="F80" s="23">
        <f t="shared" si="7"/>
        <v>5554059.3178322855</v>
      </c>
    </row>
    <row r="81" spans="1:7" ht="25.35" customHeight="1">
      <c r="A81" s="765" t="str">
        <f t="shared" si="3"/>
        <v>North Florida College</v>
      </c>
      <c r="B81" s="490">
        <v>1608194.9414521542</v>
      </c>
      <c r="C81" s="490">
        <f t="shared" si="4"/>
        <v>80409.747072607715</v>
      </c>
      <c r="D81" s="490">
        <f t="shared" si="5"/>
        <v>1</v>
      </c>
      <c r="E81" s="490">
        <f t="shared" si="6"/>
        <v>32163.898829043086</v>
      </c>
      <c r="F81" s="490">
        <f t="shared" si="7"/>
        <v>112573.6459016508</v>
      </c>
    </row>
    <row r="82" spans="1:7" ht="25.35" customHeight="1">
      <c r="A82" s="765" t="str">
        <f t="shared" si="3"/>
        <v>Northwest Florida State College</v>
      </c>
      <c r="B82" s="490">
        <v>7969842.4723906666</v>
      </c>
      <c r="C82" s="490">
        <f t="shared" si="4"/>
        <v>398492.12361953338</v>
      </c>
      <c r="D82" s="490">
        <f t="shared" si="5"/>
        <v>1</v>
      </c>
      <c r="E82" s="490">
        <f t="shared" si="6"/>
        <v>159396.84944781332</v>
      </c>
      <c r="F82" s="490">
        <f t="shared" si="7"/>
        <v>557888.97306734673</v>
      </c>
    </row>
    <row r="83" spans="1:7" ht="25.35" customHeight="1">
      <c r="A83" s="764" t="str">
        <f t="shared" si="3"/>
        <v>Palm Beach State College</v>
      </c>
      <c r="B83" s="23">
        <v>45386494.327909946</v>
      </c>
      <c r="C83" s="23">
        <f t="shared" si="4"/>
        <v>2269324.7163954973</v>
      </c>
      <c r="D83" s="23">
        <f t="shared" si="5"/>
        <v>0</v>
      </c>
      <c r="E83" s="23">
        <f t="shared" si="6"/>
        <v>0</v>
      </c>
      <c r="F83" s="23">
        <f t="shared" si="7"/>
        <v>2269324.7163954973</v>
      </c>
    </row>
    <row r="84" spans="1:7" ht="25.35" customHeight="1">
      <c r="A84" s="764" t="str">
        <f t="shared" si="3"/>
        <v>Pasco-Hernando State College</v>
      </c>
      <c r="B84" s="23">
        <v>14393304.797373252</v>
      </c>
      <c r="C84" s="23">
        <f t="shared" si="4"/>
        <v>719665.23986866267</v>
      </c>
      <c r="D84" s="23">
        <f t="shared" si="5"/>
        <v>0</v>
      </c>
      <c r="E84" s="23">
        <f t="shared" si="6"/>
        <v>0</v>
      </c>
      <c r="F84" s="23">
        <f t="shared" si="7"/>
        <v>719665.23986866267</v>
      </c>
    </row>
    <row r="85" spans="1:7" ht="25.35" customHeight="1">
      <c r="A85" s="764" t="str">
        <f t="shared" si="3"/>
        <v>Pensacola State College</v>
      </c>
      <c r="B85" s="23">
        <v>14562895.325686499</v>
      </c>
      <c r="C85" s="23">
        <f t="shared" si="4"/>
        <v>728144.76628432504</v>
      </c>
      <c r="D85" s="23">
        <f t="shared" si="5"/>
        <v>0</v>
      </c>
      <c r="E85" s="23">
        <f t="shared" si="6"/>
        <v>0</v>
      </c>
      <c r="F85" s="23">
        <f t="shared" si="7"/>
        <v>728144.76628432504</v>
      </c>
    </row>
    <row r="86" spans="1:7" ht="25.35" customHeight="1">
      <c r="A86" s="764" t="str">
        <f t="shared" si="3"/>
        <v>Polk State College</v>
      </c>
      <c r="B86" s="23">
        <v>14060636.697341474</v>
      </c>
      <c r="C86" s="23">
        <f t="shared" si="4"/>
        <v>703031.83486707369</v>
      </c>
      <c r="D86" s="23">
        <f t="shared" si="5"/>
        <v>0</v>
      </c>
      <c r="E86" s="23">
        <f t="shared" si="6"/>
        <v>0</v>
      </c>
      <c r="F86" s="23">
        <f t="shared" si="7"/>
        <v>703031.83486707369</v>
      </c>
    </row>
    <row r="87" spans="1:7" ht="25.35" customHeight="1">
      <c r="A87" s="765" t="str">
        <f t="shared" si="3"/>
        <v>St. Johns River State College</v>
      </c>
      <c r="B87" s="490">
        <v>8494066.254338745</v>
      </c>
      <c r="C87" s="490">
        <f t="shared" si="4"/>
        <v>424703.31271693727</v>
      </c>
      <c r="D87" s="490">
        <f t="shared" si="5"/>
        <v>1</v>
      </c>
      <c r="E87" s="490">
        <f t="shared" si="6"/>
        <v>169881.32508677492</v>
      </c>
      <c r="F87" s="490">
        <f t="shared" si="7"/>
        <v>594584.63780371216</v>
      </c>
    </row>
    <row r="88" spans="1:7" ht="25.35" customHeight="1">
      <c r="A88" s="764" t="str">
        <f t="shared" si="3"/>
        <v>St. Petersburg College</v>
      </c>
      <c r="B88" s="23">
        <v>42727325.007505536</v>
      </c>
      <c r="C88" s="23">
        <f t="shared" si="4"/>
        <v>2136366.2503752769</v>
      </c>
      <c r="D88" s="23">
        <f t="shared" si="5"/>
        <v>0</v>
      </c>
      <c r="E88" s="23">
        <f t="shared" si="6"/>
        <v>0</v>
      </c>
      <c r="F88" s="23">
        <f t="shared" si="7"/>
        <v>2136366.2503752769</v>
      </c>
    </row>
    <row r="89" spans="1:7" ht="25.35" customHeight="1">
      <c r="A89" s="764" t="str">
        <f t="shared" si="3"/>
        <v>Santa Fe College</v>
      </c>
      <c r="B89" s="23">
        <v>24950860.879950155</v>
      </c>
      <c r="C89" s="23">
        <f t="shared" si="4"/>
        <v>1247543.0439975078</v>
      </c>
      <c r="D89" s="23">
        <f t="shared" si="5"/>
        <v>0</v>
      </c>
      <c r="E89" s="23">
        <f t="shared" si="6"/>
        <v>0</v>
      </c>
      <c r="F89" s="23">
        <f t="shared" si="7"/>
        <v>1247543.0439975078</v>
      </c>
    </row>
    <row r="90" spans="1:7" ht="25.35" customHeight="1">
      <c r="A90" s="764" t="str">
        <f t="shared" si="3"/>
        <v>Seminole State College of Florida</v>
      </c>
      <c r="B90" s="23">
        <v>27984856.483876474</v>
      </c>
      <c r="C90" s="23">
        <f t="shared" si="4"/>
        <v>1399242.8241938238</v>
      </c>
      <c r="D90" s="23">
        <f t="shared" si="5"/>
        <v>0</v>
      </c>
      <c r="E90" s="23">
        <f t="shared" si="6"/>
        <v>0</v>
      </c>
      <c r="F90" s="23">
        <f t="shared" si="7"/>
        <v>1399242.8241938238</v>
      </c>
    </row>
    <row r="91" spans="1:7" ht="25.35" customHeight="1">
      <c r="A91" s="765" t="str">
        <f t="shared" si="3"/>
        <v>South Florida State College</v>
      </c>
      <c r="B91" s="490">
        <v>3897242.2898468859</v>
      </c>
      <c r="C91" s="490">
        <f t="shared" si="4"/>
        <v>194862.11449234432</v>
      </c>
      <c r="D91" s="490">
        <f t="shared" si="5"/>
        <v>1</v>
      </c>
      <c r="E91" s="490">
        <f t="shared" si="6"/>
        <v>77944.84579693772</v>
      </c>
      <c r="F91" s="490">
        <f t="shared" si="7"/>
        <v>272806.96028928203</v>
      </c>
    </row>
    <row r="92" spans="1:7" ht="25.35" customHeight="1">
      <c r="A92" s="764" t="str">
        <f t="shared" si="3"/>
        <v>Tallahassee Community College</v>
      </c>
      <c r="B92" s="23">
        <v>22164943.144527473</v>
      </c>
      <c r="C92" s="33">
        <f t="shared" si="4"/>
        <v>1108247.1572263737</v>
      </c>
      <c r="D92" s="33">
        <f t="shared" si="5"/>
        <v>0</v>
      </c>
      <c r="E92" s="33">
        <f t="shared" si="6"/>
        <v>0</v>
      </c>
      <c r="F92" s="33">
        <f t="shared" si="7"/>
        <v>1108247.1572263737</v>
      </c>
    </row>
    <row r="93" spans="1:7" ht="25.35" customHeight="1" thickBot="1">
      <c r="A93" s="764" t="str">
        <f t="shared" si="3"/>
        <v>Valencia College</v>
      </c>
      <c r="B93" s="605">
        <v>94519809.31810233</v>
      </c>
      <c r="C93" s="34">
        <f t="shared" si="4"/>
        <v>4725990.4659051169</v>
      </c>
      <c r="D93" s="34">
        <f t="shared" si="5"/>
        <v>0</v>
      </c>
      <c r="E93" s="34">
        <f t="shared" si="6"/>
        <v>0</v>
      </c>
      <c r="F93" s="34">
        <f t="shared" si="7"/>
        <v>4725990.4659051169</v>
      </c>
    </row>
    <row r="94" spans="1:7" ht="25.35" customHeight="1" thickBot="1">
      <c r="A94" s="78" t="s">
        <v>50</v>
      </c>
      <c r="B94" s="531">
        <f>SUM(B66:B93)</f>
        <v>719066462.19599426</v>
      </c>
      <c r="C94" s="531">
        <f>SUM(C66:C93)</f>
        <v>35953323.10979972</v>
      </c>
      <c r="D94" s="79">
        <f>SUM(D66:D93)</f>
        <v>9</v>
      </c>
      <c r="E94" s="531">
        <f>SUM(E66:E93)</f>
        <v>880247.87626193953</v>
      </c>
      <c r="F94" s="532">
        <f>SUM(C66:E93)</f>
        <v>36833579.986061662</v>
      </c>
    </row>
    <row r="95" spans="1:7" ht="25.35" customHeight="1">
      <c r="A95" s="91"/>
      <c r="E95" s="24"/>
      <c r="F95" s="24"/>
      <c r="G95" s="24"/>
    </row>
    <row r="96" spans="1:7" ht="25.35" customHeight="1">
      <c r="A96" s="92" t="s">
        <v>69</v>
      </c>
      <c r="E96" s="24"/>
      <c r="F96" s="24"/>
      <c r="G96" s="24"/>
    </row>
    <row r="97" spans="1:54" ht="25.35" customHeight="1">
      <c r="A97" s="1265" t="s">
        <v>757</v>
      </c>
      <c r="B97" s="1265"/>
      <c r="C97" s="1265"/>
      <c r="D97" s="1265"/>
      <c r="E97" s="1265"/>
      <c r="F97" s="1265"/>
      <c r="G97" s="1265"/>
      <c r="H97" s="1265"/>
      <c r="I97" s="1265"/>
      <c r="J97" s="1265"/>
      <c r="K97" s="1265"/>
      <c r="L97" s="1265"/>
      <c r="M97" s="1265"/>
      <c r="N97" s="1265"/>
      <c r="O97" s="1265"/>
      <c r="P97" s="1265"/>
      <c r="Q97" s="1265"/>
      <c r="R97" s="1265"/>
    </row>
    <row r="98" spans="1:54" ht="20.100000000000001" customHeight="1">
      <c r="A98" s="1252" t="s">
        <v>70</v>
      </c>
      <c r="B98" s="1252"/>
      <c r="C98" s="1252"/>
      <c r="D98" s="1252"/>
      <c r="E98" s="1252"/>
      <c r="F98" s="1252"/>
      <c r="G98" s="1252"/>
      <c r="H98" s="1252"/>
      <c r="I98" s="1252"/>
      <c r="J98" s="1252"/>
      <c r="K98" s="1252"/>
      <c r="L98" s="1252"/>
      <c r="M98" s="1252"/>
      <c r="N98" s="1252"/>
      <c r="O98" s="1252"/>
      <c r="P98" s="1252"/>
      <c r="Q98" s="1252"/>
      <c r="R98" s="1252"/>
      <c r="S98" s="601"/>
    </row>
    <row r="99" spans="1:54" ht="20.100000000000001" customHeight="1">
      <c r="A99" s="583" t="s">
        <v>71</v>
      </c>
      <c r="B99" s="583"/>
      <c r="C99" s="583"/>
      <c r="D99" s="583"/>
      <c r="E99" s="583"/>
      <c r="F99" s="583"/>
      <c r="G99" s="583"/>
      <c r="H99" s="583"/>
      <c r="I99" s="583"/>
      <c r="J99" s="583"/>
      <c r="K99" s="583"/>
      <c r="L99" s="583"/>
      <c r="M99" s="583"/>
      <c r="N99" s="583"/>
      <c r="O99" s="583"/>
      <c r="P99" s="583"/>
      <c r="Q99" s="583"/>
      <c r="R99" s="583"/>
    </row>
    <row r="100" spans="1:54" ht="20.100000000000001" customHeight="1">
      <c r="A100" s="1252" t="s">
        <v>72</v>
      </c>
      <c r="B100" s="1252"/>
      <c r="C100" s="1252"/>
      <c r="D100" s="1252"/>
      <c r="E100" s="1252"/>
      <c r="F100" s="1252"/>
      <c r="G100" s="1252"/>
      <c r="H100" s="1252"/>
      <c r="I100" s="1252"/>
      <c r="J100" s="1252"/>
      <c r="K100" s="1252"/>
      <c r="L100" s="1252"/>
      <c r="M100" s="1252"/>
      <c r="N100" s="1252"/>
      <c r="O100" s="1252"/>
      <c r="P100" s="1252"/>
      <c r="Q100" s="1252"/>
      <c r="R100" s="1252"/>
    </row>
    <row r="101" spans="1:54" ht="20.100000000000001" customHeight="1">
      <c r="A101" s="1252"/>
      <c r="B101" s="1252"/>
      <c r="C101" s="1252"/>
      <c r="D101" s="1252"/>
      <c r="E101" s="1252"/>
      <c r="F101" s="1252"/>
      <c r="G101" s="1252"/>
    </row>
    <row r="102" spans="1:54" ht="32.450000000000003" customHeight="1" thickBot="1">
      <c r="E102" s="595"/>
      <c r="F102" s="595"/>
      <c r="G102" s="595"/>
      <c r="H102" s="27"/>
      <c r="I102" s="27"/>
      <c r="J102" s="27"/>
      <c r="K102" s="27"/>
    </row>
    <row r="103" spans="1:54" ht="43.35" customHeight="1" thickBot="1">
      <c r="A103" s="56" t="s">
        <v>753</v>
      </c>
      <c r="B103" s="1253" t="s">
        <v>756</v>
      </c>
      <c r="C103" s="1254"/>
      <c r="D103" s="1255"/>
      <c r="E103" s="1256" t="s">
        <v>73</v>
      </c>
      <c r="F103" s="1256"/>
      <c r="G103" s="1256"/>
      <c r="H103" s="1256"/>
      <c r="I103" s="1256"/>
      <c r="J103" s="1256"/>
      <c r="K103" s="1256"/>
      <c r="L103" s="1256"/>
      <c r="M103" s="1256"/>
      <c r="N103" s="1256"/>
      <c r="O103" s="1256"/>
      <c r="P103" s="1256"/>
      <c r="Q103" s="1256"/>
      <c r="R103" s="1256"/>
      <c r="S103" s="1257"/>
      <c r="T103" s="754"/>
      <c r="U103" s="754"/>
      <c r="AC103" s="22"/>
      <c r="AD103" s="37"/>
      <c r="AK103" s="498"/>
    </row>
    <row r="104" spans="1:54" ht="39" customHeight="1" thickBot="1">
      <c r="A104" s="55">
        <v>1</v>
      </c>
      <c r="B104" s="53">
        <v>2</v>
      </c>
      <c r="C104" s="1196">
        <v>3</v>
      </c>
      <c r="D104" s="1197">
        <v>4</v>
      </c>
      <c r="E104" s="1196">
        <v>5</v>
      </c>
      <c r="F104" s="1196">
        <v>6</v>
      </c>
      <c r="G104" s="1196">
        <v>7</v>
      </c>
      <c r="H104" s="1196">
        <v>8</v>
      </c>
      <c r="I104" s="1196">
        <v>9</v>
      </c>
      <c r="J104" s="1196">
        <v>10</v>
      </c>
      <c r="K104" s="1196">
        <v>11</v>
      </c>
      <c r="L104" s="1196">
        <v>12</v>
      </c>
      <c r="M104" s="1196">
        <v>13</v>
      </c>
      <c r="N104" s="1196">
        <v>14</v>
      </c>
      <c r="O104" s="1196">
        <v>15</v>
      </c>
      <c r="P104" s="1196">
        <v>16</v>
      </c>
      <c r="Q104" s="1196">
        <v>17</v>
      </c>
      <c r="R104" s="1196">
        <v>18</v>
      </c>
      <c r="S104" s="1197">
        <v>19</v>
      </c>
      <c r="T104" s="1271" t="s">
        <v>74</v>
      </c>
      <c r="U104" s="38"/>
      <c r="V104" s="53">
        <v>20</v>
      </c>
      <c r="W104" s="1196">
        <v>21</v>
      </c>
      <c r="X104" s="1196">
        <v>22</v>
      </c>
      <c r="Y104" s="71"/>
      <c r="Z104" s="1196">
        <v>23</v>
      </c>
      <c r="AA104" s="1196">
        <v>24</v>
      </c>
      <c r="AB104" s="1197">
        <v>25</v>
      </c>
      <c r="AC104" s="40"/>
      <c r="AD104" s="37"/>
    </row>
    <row r="105" spans="1:54" ht="29.45" customHeight="1" thickBot="1">
      <c r="A105" s="65" t="s">
        <v>75</v>
      </c>
      <c r="B105" s="1273" t="s">
        <v>76</v>
      </c>
      <c r="C105" s="1274"/>
      <c r="D105" s="1275"/>
      <c r="E105" s="39"/>
      <c r="F105" s="1276" t="s">
        <v>77</v>
      </c>
      <c r="G105" s="1276"/>
      <c r="H105" s="1276"/>
      <c r="I105" s="1276"/>
      <c r="J105" s="1276"/>
      <c r="K105" s="1276"/>
      <c r="L105" s="1276"/>
      <c r="M105" s="1276"/>
      <c r="N105" s="1276"/>
      <c r="O105" s="1276"/>
      <c r="P105" s="1276"/>
      <c r="Q105" s="1277" t="s">
        <v>78</v>
      </c>
      <c r="R105" s="1278"/>
      <c r="S105" s="1279"/>
      <c r="T105" s="1272"/>
      <c r="U105" s="41"/>
      <c r="V105" s="42"/>
      <c r="W105" s="43"/>
      <c r="X105" s="44"/>
      <c r="Y105" s="72"/>
      <c r="Z105" s="1280"/>
      <c r="AA105" s="1281"/>
      <c r="AB105" s="1282"/>
      <c r="AC105" s="22"/>
      <c r="AD105" s="722" t="s">
        <v>79</v>
      </c>
      <c r="AF105" s="36"/>
      <c r="AG105" s="37"/>
    </row>
    <row r="106" spans="1:54" ht="66" customHeight="1" thickBot="1">
      <c r="A106" s="45"/>
      <c r="B106" s="1283" t="s">
        <v>80</v>
      </c>
      <c r="C106" s="1284"/>
      <c r="D106" s="1285"/>
      <c r="E106" s="1283" t="s">
        <v>81</v>
      </c>
      <c r="F106" s="1284"/>
      <c r="G106" s="1285"/>
      <c r="H106" s="1283" t="s">
        <v>82</v>
      </c>
      <c r="I106" s="1284"/>
      <c r="J106" s="1285"/>
      <c r="K106" s="1286" t="s">
        <v>83</v>
      </c>
      <c r="L106" s="1286"/>
      <c r="M106" s="1286"/>
      <c r="N106" s="1287" t="s">
        <v>84</v>
      </c>
      <c r="O106" s="1288"/>
      <c r="P106" s="1289"/>
      <c r="Q106" s="1287" t="s">
        <v>85</v>
      </c>
      <c r="R106" s="1288"/>
      <c r="S106" s="1289"/>
      <c r="T106" s="1290" t="s">
        <v>86</v>
      </c>
      <c r="U106" s="26"/>
      <c r="V106" s="1292" t="s">
        <v>87</v>
      </c>
      <c r="W106" s="1293"/>
      <c r="X106" s="1294"/>
      <c r="Y106" s="67"/>
      <c r="Z106" s="1292" t="s">
        <v>88</v>
      </c>
      <c r="AA106" s="1293"/>
      <c r="AB106" s="1295"/>
      <c r="AC106" s="27"/>
      <c r="AD106" s="52" t="s">
        <v>89</v>
      </c>
      <c r="AF106" s="22"/>
      <c r="AG106" s="24"/>
      <c r="AI106" s="1296" t="s">
        <v>90</v>
      </c>
      <c r="AJ106" s="1296"/>
      <c r="AK106" s="1296"/>
      <c r="AL106" s="1296"/>
      <c r="AM106" s="1296"/>
      <c r="AN106" s="1296"/>
      <c r="AO106" s="1296"/>
      <c r="AP106" s="27"/>
      <c r="AS106" s="27"/>
      <c r="AT106" s="27"/>
    </row>
    <row r="107" spans="1:54" ht="87" customHeight="1" thickBot="1">
      <c r="A107" s="50" t="s">
        <v>17</v>
      </c>
      <c r="B107" s="1125" t="s">
        <v>91</v>
      </c>
      <c r="C107" s="496"/>
      <c r="D107" s="699" t="s">
        <v>55</v>
      </c>
      <c r="E107" s="1124" t="s">
        <v>91</v>
      </c>
      <c r="F107" s="1123" t="s">
        <v>92</v>
      </c>
      <c r="G107" s="66" t="s">
        <v>55</v>
      </c>
      <c r="H107" s="1126" t="s">
        <v>91</v>
      </c>
      <c r="I107" s="1127" t="s">
        <v>92</v>
      </c>
      <c r="J107" s="69" t="s">
        <v>55</v>
      </c>
      <c r="K107" s="1128" t="s">
        <v>91</v>
      </c>
      <c r="L107" s="1129" t="s">
        <v>92</v>
      </c>
      <c r="M107" s="1217" t="s">
        <v>55</v>
      </c>
      <c r="N107" s="1130" t="s">
        <v>91</v>
      </c>
      <c r="O107" s="1129" t="s">
        <v>92</v>
      </c>
      <c r="P107" s="668" t="s">
        <v>55</v>
      </c>
      <c r="Q107" s="1130" t="s">
        <v>91</v>
      </c>
      <c r="R107" s="1123" t="s">
        <v>92</v>
      </c>
      <c r="S107" s="69" t="s">
        <v>55</v>
      </c>
      <c r="T107" s="1291"/>
      <c r="V107" s="1131" t="s">
        <v>91</v>
      </c>
      <c r="W107" s="1132" t="s">
        <v>92</v>
      </c>
      <c r="X107" s="1218" t="s">
        <v>55</v>
      </c>
      <c r="Y107" s="68"/>
      <c r="Z107" s="46" t="s">
        <v>91</v>
      </c>
      <c r="AA107" s="1133" t="s">
        <v>92</v>
      </c>
      <c r="AB107" s="95" t="s">
        <v>55</v>
      </c>
      <c r="AD107" s="50" t="s">
        <v>17</v>
      </c>
      <c r="AE107" s="1134" t="s">
        <v>93</v>
      </c>
      <c r="AF107" s="1135" t="s">
        <v>94</v>
      </c>
      <c r="AG107" s="29" t="s">
        <v>95</v>
      </c>
      <c r="AP107" s="27"/>
      <c r="AR107" s="48"/>
      <c r="AS107" s="48"/>
      <c r="AT107" s="48"/>
      <c r="AU107" s="27"/>
      <c r="AY107" s="27"/>
      <c r="AZ107" s="27"/>
      <c r="BA107" s="27"/>
      <c r="BB107" s="27"/>
    </row>
    <row r="108" spans="1:54" ht="24.6" customHeight="1">
      <c r="A108" s="492" t="str">
        <f t="shared" ref="A108:A135" si="8">A7</f>
        <v>Eastern Florida State College</v>
      </c>
      <c r="B108" s="584">
        <v>1066</v>
      </c>
      <c r="C108" s="70"/>
      <c r="D108" s="1116">
        <f t="shared" ref="D108:D135" si="9">B108+C108</f>
        <v>1066</v>
      </c>
      <c r="E108" s="1121">
        <v>4721.7054560124652</v>
      </c>
      <c r="F108" s="585">
        <v>154.0791135718658</v>
      </c>
      <c r="G108" s="508">
        <f t="shared" ref="G108:G135" si="10">E108+F108</f>
        <v>4875.7845695843307</v>
      </c>
      <c r="H108" s="586">
        <v>1647.7344689860929</v>
      </c>
      <c r="I108" s="587">
        <v>40.223762090371011</v>
      </c>
      <c r="J108" s="508">
        <f>H108+I108</f>
        <v>1687.958231076464</v>
      </c>
      <c r="K108" s="588">
        <v>145.02542025420254</v>
      </c>
      <c r="L108" s="589">
        <v>15.974579745797456</v>
      </c>
      <c r="M108" s="64">
        <f t="shared" ref="M108:M135" si="11">K108+L108</f>
        <v>161</v>
      </c>
      <c r="N108" s="588">
        <v>0</v>
      </c>
      <c r="O108" s="589">
        <v>0</v>
      </c>
      <c r="P108" s="64">
        <f t="shared" ref="P108:P135" si="12">N108+O108</f>
        <v>0</v>
      </c>
      <c r="Q108" s="588">
        <v>286.65890570430736</v>
      </c>
      <c r="R108" s="590">
        <v>13.484284051222351</v>
      </c>
      <c r="S108" s="508">
        <f t="shared" ref="S108:S135" si="13">Q108+R108</f>
        <v>300.1431897555297</v>
      </c>
      <c r="T108" s="64">
        <f t="shared" ref="T108:T135" si="14">D108+G108+J108+M108+P108+S108</f>
        <v>8090.8859904163246</v>
      </c>
      <c r="V108" s="1219">
        <f>X108-W108</f>
        <v>0</v>
      </c>
      <c r="W108" s="591">
        <v>0</v>
      </c>
      <c r="X108" s="592">
        <v>0</v>
      </c>
      <c r="Y108" s="93"/>
      <c r="Z108" s="513">
        <f>AB108-AA108</f>
        <v>0</v>
      </c>
      <c r="AA108" s="593">
        <v>0</v>
      </c>
      <c r="AB108" s="1220">
        <f t="shared" ref="AB108:AB135" si="15">AG108</f>
        <v>0</v>
      </c>
      <c r="AD108" s="492" t="str">
        <f t="shared" ref="AD108:AD135" si="16">A108</f>
        <v>Eastern Florida State College</v>
      </c>
      <c r="AE108" s="594">
        <v>0</v>
      </c>
      <c r="AF108" s="594">
        <v>0</v>
      </c>
      <c r="AG108" s="515">
        <f t="shared" ref="AG108:AG135" si="17">AE108+AF108</f>
        <v>0</v>
      </c>
      <c r="AI108" s="1299" t="s">
        <v>96</v>
      </c>
      <c r="AJ108" s="1299"/>
      <c r="AK108" s="1299"/>
      <c r="AL108" s="1299"/>
      <c r="AM108" s="1299"/>
      <c r="AN108" s="1299"/>
      <c r="AO108" s="1221">
        <f>X136+AB136</f>
        <v>3533</v>
      </c>
      <c r="AP108" s="27"/>
      <c r="AR108" s="48"/>
      <c r="AS108" s="48"/>
      <c r="AT108" s="48"/>
      <c r="AU108" s="27"/>
      <c r="AY108" s="27"/>
      <c r="AZ108" s="27"/>
      <c r="BA108" s="27"/>
      <c r="BB108" s="27"/>
    </row>
    <row r="109" spans="1:54" ht="25.35" customHeight="1">
      <c r="A109" s="1222" t="str">
        <f t="shared" si="8"/>
        <v>Broward College</v>
      </c>
      <c r="B109" s="751">
        <v>1427</v>
      </c>
      <c r="C109" s="1223"/>
      <c r="D109" s="1117">
        <f t="shared" si="9"/>
        <v>1427</v>
      </c>
      <c r="E109" s="1120">
        <v>12875.571466035677</v>
      </c>
      <c r="F109" s="1224">
        <v>533.3864488404389</v>
      </c>
      <c r="G109" s="1225">
        <f t="shared" si="10"/>
        <v>13408.957914876117</v>
      </c>
      <c r="H109" s="1226">
        <v>6034.6291051766975</v>
      </c>
      <c r="I109" s="1227">
        <v>265.43929293889244</v>
      </c>
      <c r="J109" s="1225">
        <f t="shared" ref="J109:J135" si="18">H109+I109</f>
        <v>6300.0683981155898</v>
      </c>
      <c r="K109" s="766">
        <v>586.68036697247703</v>
      </c>
      <c r="L109" s="752">
        <v>65.31963302752294</v>
      </c>
      <c r="M109" s="1228">
        <f t="shared" si="11"/>
        <v>652</v>
      </c>
      <c r="N109" s="766">
        <v>30.187265917602996</v>
      </c>
      <c r="O109" s="752">
        <v>0.81273408239700373</v>
      </c>
      <c r="P109" s="1228">
        <f t="shared" si="12"/>
        <v>31</v>
      </c>
      <c r="Q109" s="766">
        <v>217.19872669395178</v>
      </c>
      <c r="R109" s="1229">
        <v>2.8012733060482033</v>
      </c>
      <c r="S109" s="1225">
        <f t="shared" si="13"/>
        <v>220</v>
      </c>
      <c r="T109" s="1228">
        <f t="shared" si="14"/>
        <v>22039.026312991708</v>
      </c>
      <c r="V109" s="1219">
        <f t="shared" ref="V109:V135" si="19">X109-W109</f>
        <v>0</v>
      </c>
      <c r="W109" s="1229">
        <v>0</v>
      </c>
      <c r="X109" s="1230">
        <v>0</v>
      </c>
      <c r="Y109" s="93"/>
      <c r="Z109" s="1231">
        <f t="shared" ref="Z109:Z135" si="20">AB109-AA109</f>
        <v>0</v>
      </c>
      <c r="AA109" s="1232">
        <v>0</v>
      </c>
      <c r="AB109" s="1220">
        <f t="shared" si="15"/>
        <v>0</v>
      </c>
      <c r="AD109" s="497" t="str">
        <f t="shared" si="16"/>
        <v>Broward College</v>
      </c>
      <c r="AE109" s="1233">
        <v>0</v>
      </c>
      <c r="AF109" s="1233">
        <v>0</v>
      </c>
      <c r="AG109" s="1225">
        <f t="shared" si="17"/>
        <v>0</v>
      </c>
      <c r="AI109" s="1299" t="s">
        <v>97</v>
      </c>
      <c r="AJ109" s="1299"/>
      <c r="AK109" s="1299"/>
      <c r="AL109" s="1299"/>
      <c r="AM109" s="1299"/>
      <c r="AN109" s="1299"/>
      <c r="AO109" s="1234">
        <v>29725.086210314734</v>
      </c>
      <c r="AP109" s="27"/>
      <c r="AR109" s="516"/>
      <c r="AS109" s="516"/>
      <c r="AT109" s="516"/>
      <c r="AU109" s="516"/>
      <c r="AV109" s="516"/>
      <c r="AW109" s="516"/>
      <c r="AX109" s="516"/>
      <c r="AY109" s="27"/>
      <c r="AZ109" s="27"/>
      <c r="BA109" s="27"/>
      <c r="BB109" s="27"/>
    </row>
    <row r="110" spans="1:54" ht="25.35" customHeight="1">
      <c r="A110" s="1235" t="str">
        <f t="shared" si="8"/>
        <v>College of Central Florida</v>
      </c>
      <c r="B110" s="751">
        <v>318</v>
      </c>
      <c r="C110" s="1223"/>
      <c r="D110" s="1117">
        <f t="shared" si="9"/>
        <v>318</v>
      </c>
      <c r="E110" s="1120">
        <v>2128.855441397814</v>
      </c>
      <c r="F110" s="1224">
        <v>106.2150382828349</v>
      </c>
      <c r="G110" s="1225">
        <f t="shared" si="10"/>
        <v>2235.070479680649</v>
      </c>
      <c r="H110" s="1226">
        <v>1087.3018998538573</v>
      </c>
      <c r="I110" s="1227">
        <v>44.683639720021532</v>
      </c>
      <c r="J110" s="1225">
        <f t="shared" si="18"/>
        <v>1131.9855395738789</v>
      </c>
      <c r="K110" s="766">
        <v>56.390243902439025</v>
      </c>
      <c r="L110" s="752">
        <v>11.609756097560977</v>
      </c>
      <c r="M110" s="1228">
        <f t="shared" si="11"/>
        <v>68</v>
      </c>
      <c r="N110" s="766">
        <v>0</v>
      </c>
      <c r="O110" s="752">
        <v>0</v>
      </c>
      <c r="P110" s="1228">
        <f t="shared" si="12"/>
        <v>0</v>
      </c>
      <c r="Q110" s="766">
        <v>145.1</v>
      </c>
      <c r="R110" s="1229">
        <v>7.4</v>
      </c>
      <c r="S110" s="1225">
        <f t="shared" si="13"/>
        <v>152.5</v>
      </c>
      <c r="T110" s="1228">
        <f t="shared" si="14"/>
        <v>3905.5560192545281</v>
      </c>
      <c r="V110" s="1219">
        <f t="shared" si="19"/>
        <v>0</v>
      </c>
      <c r="W110" s="1229">
        <v>0</v>
      </c>
      <c r="X110" s="1230">
        <v>0</v>
      </c>
      <c r="Y110" s="93"/>
      <c r="Z110" s="1231">
        <f t="shared" si="20"/>
        <v>2.836956521739129</v>
      </c>
      <c r="AA110" s="1232">
        <v>24.163043478260871</v>
      </c>
      <c r="AB110" s="1220">
        <f t="shared" si="15"/>
        <v>27</v>
      </c>
      <c r="AD110" s="1235" t="str">
        <f t="shared" si="16"/>
        <v>College of Central Florida</v>
      </c>
      <c r="AE110" s="1233">
        <v>17</v>
      </c>
      <c r="AF110" s="1233">
        <v>10</v>
      </c>
      <c r="AG110" s="1225">
        <f t="shared" si="17"/>
        <v>27</v>
      </c>
      <c r="AI110" s="1299" t="s">
        <v>98</v>
      </c>
      <c r="AJ110" s="1299"/>
      <c r="AK110" s="1299"/>
      <c r="AL110" s="1299"/>
      <c r="AM110" s="1299"/>
      <c r="AN110" s="1299"/>
      <c r="AO110" s="1236">
        <v>4933</v>
      </c>
      <c r="AP110" s="27"/>
      <c r="AR110" s="27"/>
      <c r="AS110" s="27"/>
      <c r="AT110" s="27"/>
      <c r="AU110" s="27"/>
      <c r="AV110" s="27"/>
      <c r="AW110" s="27"/>
      <c r="AX110" s="27"/>
      <c r="AY110" s="27"/>
      <c r="AZ110" s="27"/>
      <c r="BA110" s="27"/>
      <c r="BB110" s="27"/>
    </row>
    <row r="111" spans="1:54" ht="25.35" customHeight="1">
      <c r="A111" s="1235" t="str">
        <f t="shared" si="8"/>
        <v>Chipola College</v>
      </c>
      <c r="B111" s="751">
        <v>156</v>
      </c>
      <c r="C111" s="1223"/>
      <c r="D111" s="1117">
        <f t="shared" si="9"/>
        <v>156</v>
      </c>
      <c r="E111" s="1120">
        <v>565.48333711176599</v>
      </c>
      <c r="F111" s="1224">
        <v>45.173996826116529</v>
      </c>
      <c r="G111" s="1225">
        <f t="shared" si="10"/>
        <v>610.65733393788253</v>
      </c>
      <c r="H111" s="1226">
        <v>180.86338797814207</v>
      </c>
      <c r="I111" s="1227">
        <v>6.0409836065573765</v>
      </c>
      <c r="J111" s="1225">
        <f t="shared" si="18"/>
        <v>186.90437158469945</v>
      </c>
      <c r="K111" s="766">
        <v>1.3235294117647058</v>
      </c>
      <c r="L111" s="752">
        <v>1.6764705882352942</v>
      </c>
      <c r="M111" s="1228">
        <f t="shared" si="11"/>
        <v>3</v>
      </c>
      <c r="N111" s="766">
        <v>0</v>
      </c>
      <c r="O111" s="752">
        <v>0</v>
      </c>
      <c r="P111" s="1228">
        <f t="shared" si="12"/>
        <v>0</v>
      </c>
      <c r="Q111" s="766">
        <v>137.57164404223229</v>
      </c>
      <c r="R111" s="1229">
        <v>0.84464555052790347</v>
      </c>
      <c r="S111" s="1225">
        <f t="shared" si="13"/>
        <v>138.41628959276019</v>
      </c>
      <c r="T111" s="1228">
        <f t="shared" si="14"/>
        <v>1094.9779951153421</v>
      </c>
      <c r="V111" s="1219">
        <f t="shared" si="19"/>
        <v>0</v>
      </c>
      <c r="W111" s="1229">
        <v>0</v>
      </c>
      <c r="X111" s="1230">
        <v>0</v>
      </c>
      <c r="Y111" s="93"/>
      <c r="Z111" s="1231">
        <f t="shared" si="20"/>
        <v>0</v>
      </c>
      <c r="AA111" s="1232">
        <v>0</v>
      </c>
      <c r="AB111" s="1220">
        <f t="shared" si="15"/>
        <v>0</v>
      </c>
      <c r="AD111" s="1235" t="str">
        <f t="shared" si="16"/>
        <v>Chipola College</v>
      </c>
      <c r="AE111" s="1233">
        <v>0</v>
      </c>
      <c r="AF111" s="1233">
        <v>0</v>
      </c>
      <c r="AG111" s="1225">
        <f t="shared" si="17"/>
        <v>0</v>
      </c>
      <c r="AI111" s="48" t="s">
        <v>55</v>
      </c>
      <c r="AJ111" s="48"/>
      <c r="AK111" s="48"/>
      <c r="AL111" s="48"/>
      <c r="AM111" s="48"/>
      <c r="AN111" s="48"/>
      <c r="AO111" s="1237">
        <f>SUM(AO108:AO110)</f>
        <v>38191.086210314737</v>
      </c>
      <c r="AP111" s="27"/>
      <c r="AR111" s="516"/>
      <c r="AS111" s="516"/>
      <c r="AT111" s="516"/>
      <c r="AU111" s="516"/>
      <c r="AV111" s="516"/>
      <c r="AW111" s="516"/>
      <c r="AX111" s="516"/>
    </row>
    <row r="112" spans="1:54" ht="25.35" customHeight="1">
      <c r="A112" s="1235" t="str">
        <f t="shared" si="8"/>
        <v>Daytona State College</v>
      </c>
      <c r="B112" s="751">
        <v>1010</v>
      </c>
      <c r="C112" s="1223"/>
      <c r="D112" s="1117">
        <f t="shared" si="9"/>
        <v>1010</v>
      </c>
      <c r="E112" s="1120">
        <v>4435.0443421911568</v>
      </c>
      <c r="F112" s="1224">
        <v>211.0610600729218</v>
      </c>
      <c r="G112" s="1225">
        <f t="shared" si="10"/>
        <v>4646.1054022640783</v>
      </c>
      <c r="H112" s="1226">
        <v>2030.3511497824734</v>
      </c>
      <c r="I112" s="1227">
        <v>64.400248601615914</v>
      </c>
      <c r="J112" s="1225">
        <f t="shared" si="18"/>
        <v>2094.7513983840895</v>
      </c>
      <c r="K112" s="766">
        <v>71.283497884344143</v>
      </c>
      <c r="L112" s="752">
        <v>4.7165021156558531</v>
      </c>
      <c r="M112" s="1228">
        <f t="shared" si="11"/>
        <v>76</v>
      </c>
      <c r="N112" s="766">
        <v>2</v>
      </c>
      <c r="O112" s="752">
        <v>0</v>
      </c>
      <c r="P112" s="1228">
        <f t="shared" si="12"/>
        <v>2</v>
      </c>
      <c r="Q112" s="766">
        <v>560.96504455106231</v>
      </c>
      <c r="R112" s="1229">
        <v>19.329677861549005</v>
      </c>
      <c r="S112" s="1225">
        <f t="shared" si="13"/>
        <v>580.29472241261135</v>
      </c>
      <c r="T112" s="1228">
        <f t="shared" si="14"/>
        <v>8409.1515230607783</v>
      </c>
      <c r="V112" s="1219">
        <f t="shared" si="19"/>
        <v>3</v>
      </c>
      <c r="W112" s="1229">
        <v>0</v>
      </c>
      <c r="X112" s="1230">
        <v>3</v>
      </c>
      <c r="Y112" s="93"/>
      <c r="Z112" s="1231">
        <f t="shared" si="20"/>
        <v>91</v>
      </c>
      <c r="AA112" s="1232">
        <v>0</v>
      </c>
      <c r="AB112" s="1220">
        <f t="shared" si="15"/>
        <v>91</v>
      </c>
      <c r="AD112" s="1235" t="str">
        <f t="shared" si="16"/>
        <v>Daytona State College</v>
      </c>
      <c r="AE112" s="1233">
        <v>76</v>
      </c>
      <c r="AF112" s="1233">
        <v>15</v>
      </c>
      <c r="AG112" s="1225">
        <f t="shared" si="17"/>
        <v>91</v>
      </c>
      <c r="AP112" s="27"/>
      <c r="AS112" s="48"/>
      <c r="AT112" s="27"/>
      <c r="AU112" s="27"/>
      <c r="AV112" s="27"/>
      <c r="AW112" s="27"/>
    </row>
    <row r="113" spans="1:49" ht="25.35" customHeight="1">
      <c r="A113" s="1235" t="str">
        <f t="shared" si="8"/>
        <v>Florida SouthWestern State College</v>
      </c>
      <c r="B113" s="751">
        <v>662</v>
      </c>
      <c r="C113" s="1223"/>
      <c r="D113" s="1117">
        <f t="shared" si="9"/>
        <v>662</v>
      </c>
      <c r="E113" s="1120">
        <v>6741.2207668698393</v>
      </c>
      <c r="F113" s="1224">
        <v>238.71359097393329</v>
      </c>
      <c r="G113" s="1225">
        <f t="shared" si="10"/>
        <v>6979.9343578437729</v>
      </c>
      <c r="H113" s="1226">
        <v>704.01878193619666</v>
      </c>
      <c r="I113" s="1227">
        <v>10.11407264190029</v>
      </c>
      <c r="J113" s="1225">
        <f t="shared" si="18"/>
        <v>714.13285457809695</v>
      </c>
      <c r="K113" s="766">
        <v>142.04746580852776</v>
      </c>
      <c r="L113" s="752">
        <v>15.952534191472242</v>
      </c>
      <c r="M113" s="1228">
        <f t="shared" si="11"/>
        <v>158</v>
      </c>
      <c r="N113" s="766">
        <v>0</v>
      </c>
      <c r="O113" s="752">
        <v>0</v>
      </c>
      <c r="P113" s="1228">
        <f t="shared" si="12"/>
        <v>0</v>
      </c>
      <c r="Q113" s="766">
        <v>32.29032258064516</v>
      </c>
      <c r="R113" s="1229">
        <v>0.70967741935483863</v>
      </c>
      <c r="S113" s="1225">
        <f t="shared" si="13"/>
        <v>33</v>
      </c>
      <c r="T113" s="1228">
        <f t="shared" si="14"/>
        <v>8547.067212421869</v>
      </c>
      <c r="V113" s="1219">
        <f t="shared" si="19"/>
        <v>0</v>
      </c>
      <c r="W113" s="1229">
        <v>0</v>
      </c>
      <c r="X113" s="1230">
        <v>0</v>
      </c>
      <c r="Y113" s="93"/>
      <c r="Z113" s="1231">
        <f t="shared" si="20"/>
        <v>0</v>
      </c>
      <c r="AA113" s="1232">
        <v>0</v>
      </c>
      <c r="AB113" s="1220">
        <f t="shared" si="15"/>
        <v>0</v>
      </c>
      <c r="AD113" s="1235" t="str">
        <f t="shared" si="16"/>
        <v>Florida SouthWestern State College</v>
      </c>
      <c r="AE113" s="1233">
        <v>0</v>
      </c>
      <c r="AF113" s="1233">
        <v>0</v>
      </c>
      <c r="AG113" s="1225">
        <f t="shared" si="17"/>
        <v>0</v>
      </c>
      <c r="AI113" s="48" t="s">
        <v>754</v>
      </c>
      <c r="AJ113" s="27"/>
      <c r="AK113" s="27"/>
      <c r="AL113" s="27"/>
      <c r="AM113" s="27"/>
      <c r="AN113" s="27"/>
      <c r="AO113" s="1234">
        <v>296925</v>
      </c>
      <c r="AR113" s="48"/>
      <c r="AS113" s="48"/>
      <c r="AT113" s="27"/>
      <c r="AU113" s="27"/>
      <c r="AV113" s="27"/>
      <c r="AW113" s="27"/>
    </row>
    <row r="114" spans="1:49" ht="25.35" customHeight="1">
      <c r="A114" s="1235" t="str">
        <f t="shared" si="8"/>
        <v>Florida State College at Jacksonville</v>
      </c>
      <c r="B114" s="751">
        <v>1796</v>
      </c>
      <c r="C114" s="1223"/>
      <c r="D114" s="1117">
        <f t="shared" si="9"/>
        <v>1796</v>
      </c>
      <c r="E114" s="1120">
        <v>7622.6212345875574</v>
      </c>
      <c r="F114" s="1224">
        <v>290.67087284922422</v>
      </c>
      <c r="G114" s="1225">
        <f t="shared" si="10"/>
        <v>7913.2921074367814</v>
      </c>
      <c r="H114" s="1226">
        <v>3266.8914719760614</v>
      </c>
      <c r="I114" s="1227">
        <v>100.06444930371734</v>
      </c>
      <c r="J114" s="1225">
        <f t="shared" si="18"/>
        <v>3366.955921279779</v>
      </c>
      <c r="K114" s="766">
        <v>374.02350551363901</v>
      </c>
      <c r="L114" s="752">
        <v>20.976494486360998</v>
      </c>
      <c r="M114" s="1228">
        <f t="shared" si="11"/>
        <v>395</v>
      </c>
      <c r="N114" s="766">
        <v>10</v>
      </c>
      <c r="O114" s="752">
        <v>0</v>
      </c>
      <c r="P114" s="1228">
        <f t="shared" si="12"/>
        <v>10</v>
      </c>
      <c r="Q114" s="766">
        <v>656</v>
      </c>
      <c r="R114" s="1229">
        <v>58.8</v>
      </c>
      <c r="S114" s="1225">
        <f t="shared" si="13"/>
        <v>714.8</v>
      </c>
      <c r="T114" s="1228">
        <f t="shared" si="14"/>
        <v>14196.048028716559</v>
      </c>
      <c r="V114" s="1219">
        <f t="shared" si="19"/>
        <v>0</v>
      </c>
      <c r="W114" s="1229">
        <v>0</v>
      </c>
      <c r="X114" s="1230">
        <v>0</v>
      </c>
      <c r="Y114" s="93"/>
      <c r="Z114" s="1231">
        <f t="shared" si="20"/>
        <v>417.21339266793814</v>
      </c>
      <c r="AA114" s="1232">
        <v>52.786607332061884</v>
      </c>
      <c r="AB114" s="1220">
        <f t="shared" si="15"/>
        <v>470</v>
      </c>
      <c r="AD114" s="1235" t="str">
        <f t="shared" si="16"/>
        <v>Florida State College at Jacksonville</v>
      </c>
      <c r="AE114" s="1233">
        <v>460</v>
      </c>
      <c r="AF114" s="1233">
        <v>10</v>
      </c>
      <c r="AG114" s="1225">
        <f t="shared" si="17"/>
        <v>470</v>
      </c>
      <c r="AM114" s="27"/>
      <c r="AN114" s="27"/>
      <c r="AO114" s="1238">
        <f>AO111</f>
        <v>38191.086210314737</v>
      </c>
      <c r="AP114" s="27"/>
      <c r="AQ114" s="48"/>
      <c r="AR114" s="48"/>
      <c r="AS114" s="48"/>
      <c r="AT114" s="27"/>
      <c r="AU114" s="27"/>
      <c r="AV114" s="27"/>
      <c r="AW114" s="27"/>
    </row>
    <row r="115" spans="1:49" ht="25.35" customHeight="1">
      <c r="A115" s="1235" t="str">
        <f t="shared" si="8"/>
        <v>College of the Florida Keys</v>
      </c>
      <c r="B115" s="751">
        <v>42</v>
      </c>
      <c r="C115" s="1223"/>
      <c r="D115" s="1117">
        <f t="shared" si="9"/>
        <v>42</v>
      </c>
      <c r="E115" s="1120">
        <v>326.25844975214062</v>
      </c>
      <c r="F115" s="1224">
        <v>31.700090130689496</v>
      </c>
      <c r="G115" s="1225">
        <f t="shared" si="10"/>
        <v>357.95853988283011</v>
      </c>
      <c r="H115" s="1226">
        <v>203.39622641509433</v>
      </c>
      <c r="I115" s="1227">
        <v>24.940251572327043</v>
      </c>
      <c r="J115" s="1225">
        <f t="shared" si="18"/>
        <v>228.33647798742138</v>
      </c>
      <c r="K115" s="766">
        <v>9.7278911564625847</v>
      </c>
      <c r="L115" s="752">
        <v>1.272108843537415</v>
      </c>
      <c r="M115" s="1228">
        <f t="shared" si="11"/>
        <v>11</v>
      </c>
      <c r="N115" s="766">
        <v>0</v>
      </c>
      <c r="O115" s="752">
        <v>0</v>
      </c>
      <c r="P115" s="1228">
        <f t="shared" si="12"/>
        <v>0</v>
      </c>
      <c r="Q115" s="766">
        <v>41.831187410586551</v>
      </c>
      <c r="R115" s="1229">
        <v>1.1688125894134476</v>
      </c>
      <c r="S115" s="1225">
        <f t="shared" si="13"/>
        <v>43</v>
      </c>
      <c r="T115" s="1228">
        <f t="shared" si="14"/>
        <v>682.29501787025151</v>
      </c>
      <c r="V115" s="1219">
        <f t="shared" si="19"/>
        <v>0</v>
      </c>
      <c r="W115" s="1229">
        <v>0</v>
      </c>
      <c r="X115" s="1230">
        <v>0</v>
      </c>
      <c r="Y115" s="93"/>
      <c r="Z115" s="1231">
        <f t="shared" si="20"/>
        <v>0</v>
      </c>
      <c r="AA115" s="1232">
        <v>0</v>
      </c>
      <c r="AB115" s="1220">
        <f t="shared" si="15"/>
        <v>0</v>
      </c>
      <c r="AD115" s="1235" t="str">
        <f t="shared" si="16"/>
        <v>College of the Florida Keys</v>
      </c>
      <c r="AE115" s="1233">
        <v>0</v>
      </c>
      <c r="AF115" s="1233">
        <v>0</v>
      </c>
      <c r="AG115" s="1225">
        <f t="shared" si="17"/>
        <v>0</v>
      </c>
      <c r="AI115" s="1300" t="s">
        <v>99</v>
      </c>
      <c r="AJ115" s="1300"/>
      <c r="AK115" s="1300"/>
      <c r="AL115" s="1300"/>
      <c r="AM115" s="1300"/>
      <c r="AN115" s="1300"/>
      <c r="AO115" s="1239">
        <f>AO113-AO114</f>
        <v>258733.91378968526</v>
      </c>
      <c r="AP115" s="27"/>
      <c r="AQ115" s="27"/>
      <c r="AR115" s="27"/>
      <c r="AS115" s="27"/>
      <c r="AT115" s="27"/>
      <c r="AU115" s="27"/>
    </row>
    <row r="116" spans="1:49" ht="25.35" customHeight="1">
      <c r="A116" s="1235" t="str">
        <f t="shared" si="8"/>
        <v>Gulf Coast State College</v>
      </c>
      <c r="B116" s="751">
        <v>127</v>
      </c>
      <c r="C116" s="1223"/>
      <c r="D116" s="1117">
        <f t="shared" si="9"/>
        <v>127</v>
      </c>
      <c r="E116" s="1120">
        <v>1744.6578402622049</v>
      </c>
      <c r="F116" s="1224">
        <v>88.940012075211314</v>
      </c>
      <c r="G116" s="1225">
        <f t="shared" si="10"/>
        <v>1833.5978523374163</v>
      </c>
      <c r="H116" s="1226">
        <v>507.80121002592909</v>
      </c>
      <c r="I116" s="1227">
        <v>22.257216940363012</v>
      </c>
      <c r="J116" s="1225">
        <f t="shared" si="18"/>
        <v>530.05842696629213</v>
      </c>
      <c r="K116" s="766">
        <v>28.084862385321102</v>
      </c>
      <c r="L116" s="752">
        <v>2.915137614678899</v>
      </c>
      <c r="M116" s="1228">
        <f t="shared" si="11"/>
        <v>31</v>
      </c>
      <c r="N116" s="766">
        <v>0</v>
      </c>
      <c r="O116" s="752">
        <v>0</v>
      </c>
      <c r="P116" s="1228">
        <f t="shared" si="12"/>
        <v>0</v>
      </c>
      <c r="Q116" s="766">
        <v>146.97419354838709</v>
      </c>
      <c r="R116" s="1229">
        <v>5.025806451612902</v>
      </c>
      <c r="S116" s="1225">
        <f t="shared" si="13"/>
        <v>152</v>
      </c>
      <c r="T116" s="1228">
        <f t="shared" si="14"/>
        <v>2673.6562793037083</v>
      </c>
      <c r="V116" s="1219">
        <f t="shared" si="19"/>
        <v>0</v>
      </c>
      <c r="W116" s="1229">
        <v>0</v>
      </c>
      <c r="X116" s="1230">
        <v>0</v>
      </c>
      <c r="Y116" s="93"/>
      <c r="Z116" s="1231">
        <f t="shared" si="20"/>
        <v>0</v>
      </c>
      <c r="AA116" s="1232">
        <v>0</v>
      </c>
      <c r="AB116" s="1220">
        <f t="shared" si="15"/>
        <v>0</v>
      </c>
      <c r="AD116" s="1235" t="str">
        <f t="shared" si="16"/>
        <v>Gulf Coast State College</v>
      </c>
      <c r="AE116" s="1233">
        <v>0</v>
      </c>
      <c r="AF116" s="1233">
        <v>0</v>
      </c>
      <c r="AG116" s="1225">
        <f t="shared" si="17"/>
        <v>0</v>
      </c>
      <c r="AP116" s="27"/>
      <c r="AQ116" s="27"/>
      <c r="AR116" s="27"/>
      <c r="AS116" s="27"/>
      <c r="AT116" s="27"/>
      <c r="AU116" s="27"/>
    </row>
    <row r="117" spans="1:49" ht="25.35" customHeight="1">
      <c r="A117" s="1235" t="str">
        <f t="shared" si="8"/>
        <v>Hillsborough Community College</v>
      </c>
      <c r="B117" s="751">
        <v>0</v>
      </c>
      <c r="C117" s="1223"/>
      <c r="D117" s="1117">
        <f t="shared" si="9"/>
        <v>0</v>
      </c>
      <c r="E117" s="1120">
        <v>8973.7230513965169</v>
      </c>
      <c r="F117" s="1224">
        <v>369.13919329988545</v>
      </c>
      <c r="G117" s="1225">
        <f t="shared" si="10"/>
        <v>9342.8622446964018</v>
      </c>
      <c r="H117" s="1226">
        <v>4435.5521330411448</v>
      </c>
      <c r="I117" s="1227">
        <v>163.82739058307902</v>
      </c>
      <c r="J117" s="1225">
        <f t="shared" si="18"/>
        <v>4599.379523624224</v>
      </c>
      <c r="K117" s="766">
        <v>868.03043478260872</v>
      </c>
      <c r="L117" s="752">
        <v>55.969565217391299</v>
      </c>
      <c r="M117" s="1228">
        <f t="shared" si="11"/>
        <v>924</v>
      </c>
      <c r="N117" s="766">
        <v>57.752665245202557</v>
      </c>
      <c r="O117" s="752">
        <v>0.24733475479744141</v>
      </c>
      <c r="P117" s="1228">
        <f t="shared" si="12"/>
        <v>58</v>
      </c>
      <c r="Q117" s="766">
        <v>300.11161792326266</v>
      </c>
      <c r="R117" s="1229">
        <v>0.88838207673732239</v>
      </c>
      <c r="S117" s="1225">
        <f t="shared" si="13"/>
        <v>301</v>
      </c>
      <c r="T117" s="1228">
        <f t="shared" si="14"/>
        <v>15225.241768320626</v>
      </c>
      <c r="V117" s="1219">
        <f t="shared" si="19"/>
        <v>0</v>
      </c>
      <c r="W117" s="1229">
        <v>0</v>
      </c>
      <c r="X117" s="1230">
        <v>0</v>
      </c>
      <c r="Y117" s="93"/>
      <c r="Z117" s="1231">
        <f t="shared" si="20"/>
        <v>0</v>
      </c>
      <c r="AA117" s="1232">
        <v>0</v>
      </c>
      <c r="AB117" s="1220">
        <f t="shared" si="15"/>
        <v>0</v>
      </c>
      <c r="AD117" s="1235" t="str">
        <f t="shared" si="16"/>
        <v>Hillsborough Community College</v>
      </c>
      <c r="AE117" s="1233">
        <v>0</v>
      </c>
      <c r="AF117" s="1233">
        <v>0</v>
      </c>
      <c r="AG117" s="1225">
        <f t="shared" si="17"/>
        <v>0</v>
      </c>
      <c r="AI117" s="1300" t="s">
        <v>755</v>
      </c>
      <c r="AJ117" s="1300"/>
      <c r="AK117" s="1300"/>
      <c r="AL117" s="1300"/>
      <c r="AM117" s="1300"/>
      <c r="AN117" s="1300"/>
      <c r="AO117" s="1240">
        <f>AO111+AO115</f>
        <v>296925</v>
      </c>
      <c r="AP117" s="27"/>
      <c r="AQ117" s="27"/>
      <c r="AR117" s="27"/>
      <c r="AS117" s="27"/>
      <c r="AT117" s="27"/>
      <c r="AU117" s="27"/>
    </row>
    <row r="118" spans="1:49" ht="25.35" customHeight="1">
      <c r="A118" s="1235" t="str">
        <f t="shared" si="8"/>
        <v>Indian River State College</v>
      </c>
      <c r="B118" s="751">
        <v>1504</v>
      </c>
      <c r="C118" s="1223"/>
      <c r="D118" s="1117">
        <f t="shared" si="9"/>
        <v>1504</v>
      </c>
      <c r="E118" s="1120">
        <v>4034.1278419162418</v>
      </c>
      <c r="F118" s="1224">
        <v>80.483129614501294</v>
      </c>
      <c r="G118" s="1225">
        <f t="shared" si="10"/>
        <v>4114.610971530743</v>
      </c>
      <c r="H118" s="1226">
        <v>2124.2269837928857</v>
      </c>
      <c r="I118" s="1227">
        <v>32.284571669122293</v>
      </c>
      <c r="J118" s="1225">
        <f t="shared" si="18"/>
        <v>2156.5115554620079</v>
      </c>
      <c r="K118" s="766">
        <v>31.995127892813642</v>
      </c>
      <c r="L118" s="752">
        <v>1.0048721071863582</v>
      </c>
      <c r="M118" s="1228">
        <f t="shared" si="11"/>
        <v>33</v>
      </c>
      <c r="N118" s="766">
        <v>0</v>
      </c>
      <c r="O118" s="752">
        <v>0</v>
      </c>
      <c r="P118" s="1228">
        <f t="shared" si="12"/>
        <v>0</v>
      </c>
      <c r="Q118" s="766">
        <v>653.09760895883778</v>
      </c>
      <c r="R118" s="1229">
        <v>7.3022094430992741</v>
      </c>
      <c r="S118" s="1225">
        <f t="shared" si="13"/>
        <v>660.39981840193707</v>
      </c>
      <c r="T118" s="1228">
        <f t="shared" si="14"/>
        <v>8468.5223453946874</v>
      </c>
      <c r="V118" s="1219">
        <f t="shared" si="19"/>
        <v>0</v>
      </c>
      <c r="W118" s="1229">
        <v>0</v>
      </c>
      <c r="X118" s="1230">
        <v>0</v>
      </c>
      <c r="Y118" s="93"/>
      <c r="Z118" s="1231">
        <f t="shared" si="20"/>
        <v>668</v>
      </c>
      <c r="AA118" s="1232">
        <v>0</v>
      </c>
      <c r="AB118" s="1220">
        <f t="shared" si="15"/>
        <v>668</v>
      </c>
      <c r="AD118" s="1235" t="str">
        <f t="shared" si="16"/>
        <v>Indian River State College</v>
      </c>
      <c r="AE118" s="1233">
        <v>652</v>
      </c>
      <c r="AF118" s="1233">
        <v>16</v>
      </c>
      <c r="AG118" s="1225">
        <f t="shared" si="17"/>
        <v>668</v>
      </c>
      <c r="AM118" s="27"/>
      <c r="AN118" s="27"/>
      <c r="AO118" s="27"/>
      <c r="AP118" s="27"/>
      <c r="AQ118" s="27"/>
      <c r="AR118" s="27"/>
      <c r="AS118" s="27"/>
      <c r="AT118" s="27"/>
      <c r="AU118" s="27"/>
    </row>
    <row r="119" spans="1:49" ht="25.35" customHeight="1">
      <c r="A119" s="1235" t="str">
        <f t="shared" si="8"/>
        <v>Florida Gateway College</v>
      </c>
      <c r="B119" s="751">
        <v>94</v>
      </c>
      <c r="C119" s="1223"/>
      <c r="D119" s="1117">
        <f t="shared" si="9"/>
        <v>94</v>
      </c>
      <c r="E119" s="1120">
        <v>932.0876271300599</v>
      </c>
      <c r="F119" s="1224">
        <v>6.6131204957230416</v>
      </c>
      <c r="G119" s="1225">
        <f t="shared" si="10"/>
        <v>938.70074762578292</v>
      </c>
      <c r="H119" s="1226">
        <v>375.76623922640317</v>
      </c>
      <c r="I119" s="1227">
        <v>3.6066848854319953</v>
      </c>
      <c r="J119" s="1225">
        <f t="shared" si="18"/>
        <v>379.37292411183518</v>
      </c>
      <c r="K119" s="766">
        <v>37.616161616161619</v>
      </c>
      <c r="L119" s="752">
        <v>0.38383838383838381</v>
      </c>
      <c r="M119" s="1228">
        <f t="shared" si="11"/>
        <v>38</v>
      </c>
      <c r="N119" s="766">
        <v>12.614814814814816</v>
      </c>
      <c r="O119" s="752">
        <v>0.38518518518518519</v>
      </c>
      <c r="P119" s="1228">
        <f t="shared" si="12"/>
        <v>13</v>
      </c>
      <c r="Q119" s="766">
        <v>330.11041126343093</v>
      </c>
      <c r="R119" s="1229">
        <v>2.8803260466839569</v>
      </c>
      <c r="S119" s="1225">
        <f t="shared" si="13"/>
        <v>332.99073731011487</v>
      </c>
      <c r="T119" s="1228">
        <f t="shared" si="14"/>
        <v>1796.0644090477329</v>
      </c>
      <c r="V119" s="1219">
        <f t="shared" si="19"/>
        <v>0</v>
      </c>
      <c r="W119" s="1229">
        <v>0</v>
      </c>
      <c r="X119" s="1230">
        <v>0</v>
      </c>
      <c r="Y119" s="93"/>
      <c r="Z119" s="1231">
        <f t="shared" si="20"/>
        <v>0</v>
      </c>
      <c r="AA119" s="1232">
        <v>0</v>
      </c>
      <c r="AB119" s="1220">
        <f t="shared" si="15"/>
        <v>0</v>
      </c>
      <c r="AD119" s="1235" t="str">
        <f t="shared" si="16"/>
        <v>Florida Gateway College</v>
      </c>
      <c r="AE119" s="1233">
        <v>0</v>
      </c>
      <c r="AF119" s="1233">
        <v>0</v>
      </c>
      <c r="AG119" s="1225">
        <f t="shared" si="17"/>
        <v>0</v>
      </c>
    </row>
    <row r="120" spans="1:49" ht="25.35" customHeight="1">
      <c r="A120" s="1235" t="str">
        <f t="shared" si="8"/>
        <v>Lake-Sumter State College</v>
      </c>
      <c r="B120" s="751">
        <v>120</v>
      </c>
      <c r="C120" s="1223"/>
      <c r="D120" s="1117">
        <f t="shared" si="9"/>
        <v>120</v>
      </c>
      <c r="E120" s="1120">
        <v>1822.473470309325</v>
      </c>
      <c r="F120" s="1224">
        <v>19.118198238880108</v>
      </c>
      <c r="G120" s="1225">
        <f t="shared" si="10"/>
        <v>1841.591668548205</v>
      </c>
      <c r="H120" s="1226">
        <v>401.16230366492147</v>
      </c>
      <c r="I120" s="1227">
        <v>2.5727748691099479</v>
      </c>
      <c r="J120" s="1225">
        <f t="shared" si="18"/>
        <v>403.7350785340314</v>
      </c>
      <c r="K120" s="766">
        <v>61.316455696202532</v>
      </c>
      <c r="L120" s="752">
        <v>1.6835443037974684</v>
      </c>
      <c r="M120" s="1228">
        <f t="shared" si="11"/>
        <v>63</v>
      </c>
      <c r="N120" s="766">
        <v>0</v>
      </c>
      <c r="O120" s="752">
        <v>0</v>
      </c>
      <c r="P120" s="1228">
        <f t="shared" si="12"/>
        <v>0</v>
      </c>
      <c r="Q120" s="766">
        <v>0</v>
      </c>
      <c r="R120" s="1229">
        <v>0</v>
      </c>
      <c r="S120" s="1225">
        <f t="shared" si="13"/>
        <v>0</v>
      </c>
      <c r="T120" s="1228">
        <f t="shared" si="14"/>
        <v>2428.3267470822366</v>
      </c>
      <c r="V120" s="1219">
        <f t="shared" si="19"/>
        <v>0</v>
      </c>
      <c r="W120" s="1229">
        <v>0</v>
      </c>
      <c r="X120" s="1230">
        <v>0</v>
      </c>
      <c r="Y120" s="93"/>
      <c r="Z120" s="1231">
        <f t="shared" si="20"/>
        <v>0</v>
      </c>
      <c r="AA120" s="1232">
        <v>0</v>
      </c>
      <c r="AB120" s="1220">
        <f t="shared" si="15"/>
        <v>0</v>
      </c>
      <c r="AD120" s="1235" t="str">
        <f t="shared" si="16"/>
        <v>Lake-Sumter State College</v>
      </c>
      <c r="AE120" s="1233">
        <v>0</v>
      </c>
      <c r="AF120" s="1233">
        <v>0</v>
      </c>
      <c r="AG120" s="1225">
        <f t="shared" si="17"/>
        <v>0</v>
      </c>
    </row>
    <row r="121" spans="1:49" ht="25.35" customHeight="1">
      <c r="A121" s="1235" t="str">
        <f t="shared" si="8"/>
        <v>State College of Florida, Manatee-Sarasota</v>
      </c>
      <c r="B121" s="751">
        <v>479</v>
      </c>
      <c r="C121" s="1223"/>
      <c r="D121" s="1117">
        <f t="shared" si="9"/>
        <v>479</v>
      </c>
      <c r="E121" s="1120">
        <v>4468.0366168127903</v>
      </c>
      <c r="F121" s="1224">
        <v>200.69468798349664</v>
      </c>
      <c r="G121" s="1225">
        <f t="shared" si="10"/>
        <v>4668.7313047962871</v>
      </c>
      <c r="H121" s="1226">
        <v>745.07665169980748</v>
      </c>
      <c r="I121" s="1227">
        <v>20.470493906350228</v>
      </c>
      <c r="J121" s="1225">
        <f t="shared" si="18"/>
        <v>765.54714560615776</v>
      </c>
      <c r="K121" s="766">
        <v>131.15574650912995</v>
      </c>
      <c r="L121" s="752">
        <v>9.8442534908700328</v>
      </c>
      <c r="M121" s="1228">
        <f t="shared" si="11"/>
        <v>141</v>
      </c>
      <c r="N121" s="766">
        <v>24.609053497942387</v>
      </c>
      <c r="O121" s="752">
        <v>1.3909465020576131</v>
      </c>
      <c r="P121" s="1228">
        <f t="shared" si="12"/>
        <v>26</v>
      </c>
      <c r="Q121" s="766">
        <v>0</v>
      </c>
      <c r="R121" s="1229">
        <v>0</v>
      </c>
      <c r="S121" s="1225">
        <f t="shared" si="13"/>
        <v>0</v>
      </c>
      <c r="T121" s="1228">
        <f t="shared" si="14"/>
        <v>6080.2784504024448</v>
      </c>
      <c r="V121" s="1219">
        <f t="shared" si="19"/>
        <v>0</v>
      </c>
      <c r="W121" s="1229">
        <v>0</v>
      </c>
      <c r="X121" s="1230">
        <v>0</v>
      </c>
      <c r="Y121" s="93"/>
      <c r="Z121" s="1231">
        <f t="shared" si="20"/>
        <v>0</v>
      </c>
      <c r="AA121" s="1232">
        <v>0</v>
      </c>
      <c r="AB121" s="1220">
        <f t="shared" si="15"/>
        <v>0</v>
      </c>
      <c r="AD121" s="1235" t="str">
        <f t="shared" si="16"/>
        <v>State College of Florida, Manatee-Sarasota</v>
      </c>
      <c r="AE121" s="1233">
        <v>0</v>
      </c>
      <c r="AF121" s="1233">
        <v>0</v>
      </c>
      <c r="AG121" s="1225">
        <f t="shared" si="17"/>
        <v>0</v>
      </c>
    </row>
    <row r="122" spans="1:49" ht="25.35" customHeight="1">
      <c r="A122" s="1235" t="str">
        <f t="shared" si="8"/>
        <v>Miami Dade College</v>
      </c>
      <c r="B122" s="751">
        <v>2515</v>
      </c>
      <c r="C122" s="1223"/>
      <c r="D122" s="1117">
        <f t="shared" si="9"/>
        <v>2515</v>
      </c>
      <c r="E122" s="1120">
        <v>29295.910865430473</v>
      </c>
      <c r="F122" s="1224">
        <v>1242.2551988461694</v>
      </c>
      <c r="G122" s="1225">
        <f t="shared" si="10"/>
        <v>30538.166064276644</v>
      </c>
      <c r="H122" s="1226">
        <v>3889.330824048981</v>
      </c>
      <c r="I122" s="1227">
        <v>202.56496537187596</v>
      </c>
      <c r="J122" s="1225">
        <f t="shared" si="18"/>
        <v>4091.895789420857</v>
      </c>
      <c r="K122" s="766">
        <v>829.58358495745267</v>
      </c>
      <c r="L122" s="752">
        <v>52.416415042547342</v>
      </c>
      <c r="M122" s="1228">
        <f t="shared" si="11"/>
        <v>882</v>
      </c>
      <c r="N122" s="766">
        <v>38</v>
      </c>
      <c r="O122" s="752">
        <v>0</v>
      </c>
      <c r="P122" s="1228">
        <f t="shared" si="12"/>
        <v>38</v>
      </c>
      <c r="Q122" s="766">
        <v>815.0712477396022</v>
      </c>
      <c r="R122" s="1229">
        <v>15.928752260397831</v>
      </c>
      <c r="S122" s="1225">
        <f t="shared" si="13"/>
        <v>831</v>
      </c>
      <c r="T122" s="1228">
        <f t="shared" si="14"/>
        <v>38896.061853697502</v>
      </c>
      <c r="V122" s="1219">
        <f t="shared" si="19"/>
        <v>0</v>
      </c>
      <c r="W122" s="1229">
        <v>0</v>
      </c>
      <c r="X122" s="1230">
        <v>0</v>
      </c>
      <c r="Y122" s="93"/>
      <c r="Z122" s="1231">
        <f t="shared" si="20"/>
        <v>1.4901341077988945</v>
      </c>
      <c r="AA122" s="1232">
        <v>1161.5098658922011</v>
      </c>
      <c r="AB122" s="1220">
        <f t="shared" si="15"/>
        <v>1163</v>
      </c>
      <c r="AD122" s="1235" t="str">
        <f t="shared" si="16"/>
        <v>Miami Dade College</v>
      </c>
      <c r="AE122" s="1233">
        <v>1163</v>
      </c>
      <c r="AF122" s="1233">
        <v>0</v>
      </c>
      <c r="AG122" s="1225">
        <f t="shared" si="17"/>
        <v>1163</v>
      </c>
    </row>
    <row r="123" spans="1:49" ht="25.35" customHeight="1">
      <c r="A123" s="1235" t="str">
        <f t="shared" si="8"/>
        <v>North Florida College</v>
      </c>
      <c r="B123" s="751">
        <v>44</v>
      </c>
      <c r="C123" s="1223"/>
      <c r="D123" s="1117">
        <f t="shared" si="9"/>
        <v>44</v>
      </c>
      <c r="E123" s="1120">
        <v>352.67908054169641</v>
      </c>
      <c r="F123" s="1224">
        <v>10.740021382751246</v>
      </c>
      <c r="G123" s="1225">
        <f t="shared" si="10"/>
        <v>363.41910192444766</v>
      </c>
      <c r="H123" s="1226">
        <v>104.43147540983605</v>
      </c>
      <c r="I123" s="1227">
        <v>12.991475409836065</v>
      </c>
      <c r="J123" s="1225">
        <f t="shared" si="18"/>
        <v>117.42295081967212</v>
      </c>
      <c r="K123" s="766">
        <v>9.6530612244897966</v>
      </c>
      <c r="L123" s="752">
        <v>1.3469387755102038</v>
      </c>
      <c r="M123" s="1228">
        <f t="shared" si="11"/>
        <v>11</v>
      </c>
      <c r="N123" s="766">
        <v>0</v>
      </c>
      <c r="O123" s="752">
        <v>0</v>
      </c>
      <c r="P123" s="1228">
        <f t="shared" si="12"/>
        <v>0</v>
      </c>
      <c r="Q123" s="766">
        <v>50.990206746463549</v>
      </c>
      <c r="R123" s="1229">
        <v>4.8966267682263327</v>
      </c>
      <c r="S123" s="1225">
        <f t="shared" si="13"/>
        <v>55.886833514689883</v>
      </c>
      <c r="T123" s="1228">
        <f t="shared" si="14"/>
        <v>591.72888625880967</v>
      </c>
      <c r="V123" s="1219">
        <f t="shared" si="19"/>
        <v>0</v>
      </c>
      <c r="W123" s="1229">
        <v>0</v>
      </c>
      <c r="X123" s="1230">
        <v>0</v>
      </c>
      <c r="Y123" s="93"/>
      <c r="Z123" s="1231">
        <f t="shared" si="20"/>
        <v>0</v>
      </c>
      <c r="AA123" s="1232">
        <v>0</v>
      </c>
      <c r="AB123" s="1220">
        <f t="shared" si="15"/>
        <v>0</v>
      </c>
      <c r="AD123" s="1235" t="str">
        <f t="shared" si="16"/>
        <v>North Florida College</v>
      </c>
      <c r="AE123" s="1233">
        <v>0</v>
      </c>
      <c r="AF123" s="1233">
        <v>0</v>
      </c>
      <c r="AG123" s="1225">
        <f t="shared" si="17"/>
        <v>0</v>
      </c>
    </row>
    <row r="124" spans="1:49" ht="25.35" customHeight="1">
      <c r="A124" s="1235" t="str">
        <f t="shared" si="8"/>
        <v>Northwest Florida State College</v>
      </c>
      <c r="B124" s="751">
        <v>326</v>
      </c>
      <c r="C124" s="1223"/>
      <c r="D124" s="1117">
        <f t="shared" si="9"/>
        <v>326</v>
      </c>
      <c r="E124" s="1120">
        <v>1684.6473820672572</v>
      </c>
      <c r="F124" s="1224">
        <v>99.623427885917735</v>
      </c>
      <c r="G124" s="1225">
        <f t="shared" si="10"/>
        <v>1784.2708099531749</v>
      </c>
      <c r="H124" s="1226">
        <v>483.13408129483173</v>
      </c>
      <c r="I124" s="1227">
        <v>27.871252528968178</v>
      </c>
      <c r="J124" s="1225">
        <f t="shared" si="18"/>
        <v>511.0053338237999</v>
      </c>
      <c r="K124" s="766">
        <v>50.576368876080693</v>
      </c>
      <c r="L124" s="752">
        <v>1.4236311239193082</v>
      </c>
      <c r="M124" s="1228">
        <f t="shared" si="11"/>
        <v>52</v>
      </c>
      <c r="N124" s="766">
        <v>0</v>
      </c>
      <c r="O124" s="752">
        <v>0</v>
      </c>
      <c r="P124" s="1228">
        <f t="shared" si="12"/>
        <v>0</v>
      </c>
      <c r="Q124" s="766">
        <v>177.568345323741</v>
      </c>
      <c r="R124" s="1229">
        <v>4.4316546762589928</v>
      </c>
      <c r="S124" s="1225">
        <f t="shared" si="13"/>
        <v>182</v>
      </c>
      <c r="T124" s="1228">
        <f t="shared" si="14"/>
        <v>2855.2761437769745</v>
      </c>
      <c r="V124" s="1219">
        <f t="shared" si="19"/>
        <v>0</v>
      </c>
      <c r="W124" s="1229">
        <v>0</v>
      </c>
      <c r="X124" s="1230">
        <v>0</v>
      </c>
      <c r="Y124" s="93"/>
      <c r="Z124" s="1231">
        <f t="shared" si="20"/>
        <v>86.505681818181813</v>
      </c>
      <c r="AA124" s="1232">
        <v>0.49431818181818182</v>
      </c>
      <c r="AB124" s="1220">
        <f t="shared" si="15"/>
        <v>87</v>
      </c>
      <c r="AD124" s="1235" t="str">
        <f t="shared" si="16"/>
        <v>Northwest Florida State College</v>
      </c>
      <c r="AE124" s="1233">
        <v>76</v>
      </c>
      <c r="AF124" s="1233">
        <v>11</v>
      </c>
      <c r="AG124" s="1225">
        <f t="shared" si="17"/>
        <v>87</v>
      </c>
    </row>
    <row r="125" spans="1:49" ht="25.35" customHeight="1">
      <c r="A125" s="1235" t="str">
        <f t="shared" si="8"/>
        <v>Palm Beach State College</v>
      </c>
      <c r="B125" s="751">
        <v>908</v>
      </c>
      <c r="C125" s="1223"/>
      <c r="D125" s="1117">
        <f t="shared" si="9"/>
        <v>908</v>
      </c>
      <c r="E125" s="1120">
        <v>13229.753877087483</v>
      </c>
      <c r="F125" s="1224">
        <v>436.9392139705472</v>
      </c>
      <c r="G125" s="1225">
        <f t="shared" si="10"/>
        <v>13666.69309105803</v>
      </c>
      <c r="H125" s="1226">
        <v>1438.7981441547408</v>
      </c>
      <c r="I125" s="1227">
        <v>27.299483761353979</v>
      </c>
      <c r="J125" s="1225">
        <f t="shared" si="18"/>
        <v>1466.0976279160948</v>
      </c>
      <c r="K125" s="766">
        <v>420.78932137172626</v>
      </c>
      <c r="L125" s="752">
        <v>24.210678628273765</v>
      </c>
      <c r="M125" s="1228">
        <f t="shared" si="11"/>
        <v>445</v>
      </c>
      <c r="N125" s="766">
        <v>15</v>
      </c>
      <c r="O125" s="752">
        <v>0</v>
      </c>
      <c r="P125" s="1228">
        <f t="shared" si="12"/>
        <v>15</v>
      </c>
      <c r="Q125" s="766">
        <v>915.82730840735383</v>
      </c>
      <c r="R125" s="1229">
        <v>6.7093575707498445</v>
      </c>
      <c r="S125" s="1225">
        <f t="shared" si="13"/>
        <v>922.53666597810366</v>
      </c>
      <c r="T125" s="1228">
        <f t="shared" si="14"/>
        <v>17423.327384952227</v>
      </c>
      <c r="V125" s="1219">
        <f t="shared" si="19"/>
        <v>0</v>
      </c>
      <c r="W125" s="1229">
        <v>0</v>
      </c>
      <c r="X125" s="1230">
        <v>0</v>
      </c>
      <c r="Y125" s="93"/>
      <c r="Z125" s="1231">
        <f t="shared" si="20"/>
        <v>0</v>
      </c>
      <c r="AA125" s="1232">
        <v>0</v>
      </c>
      <c r="AB125" s="1220">
        <f t="shared" si="15"/>
        <v>0</v>
      </c>
      <c r="AD125" s="1235" t="str">
        <f t="shared" si="16"/>
        <v>Palm Beach State College</v>
      </c>
      <c r="AE125" s="1233">
        <v>0</v>
      </c>
      <c r="AF125" s="1233">
        <v>0</v>
      </c>
      <c r="AG125" s="1225">
        <f t="shared" si="17"/>
        <v>0</v>
      </c>
    </row>
    <row r="126" spans="1:49" ht="25.35" customHeight="1">
      <c r="A126" s="1235" t="str">
        <f t="shared" si="8"/>
        <v>Pasco-Hernando State College</v>
      </c>
      <c r="B126" s="751">
        <v>360</v>
      </c>
      <c r="C126" s="1223"/>
      <c r="D126" s="1117">
        <f t="shared" si="9"/>
        <v>360</v>
      </c>
      <c r="E126" s="1120">
        <v>3427.5463857625518</v>
      </c>
      <c r="F126" s="1224">
        <v>26.562095160214337</v>
      </c>
      <c r="G126" s="1225">
        <f t="shared" si="10"/>
        <v>3454.1084809227664</v>
      </c>
      <c r="H126" s="1226">
        <v>1682.2194164656926</v>
      </c>
      <c r="I126" s="1227">
        <v>13.231333049605146</v>
      </c>
      <c r="J126" s="1225">
        <f t="shared" si="18"/>
        <v>1695.4507495152977</v>
      </c>
      <c r="K126" s="766">
        <v>118.54773333333333</v>
      </c>
      <c r="L126" s="752">
        <v>2.4522666666666666</v>
      </c>
      <c r="M126" s="1228">
        <f t="shared" si="11"/>
        <v>121</v>
      </c>
      <c r="N126" s="766">
        <v>23</v>
      </c>
      <c r="O126" s="752">
        <v>0</v>
      </c>
      <c r="P126" s="1228">
        <f t="shared" si="12"/>
        <v>23</v>
      </c>
      <c r="Q126" s="766">
        <v>162.5058121269243</v>
      </c>
      <c r="R126" s="1229">
        <v>1.8774740810556081</v>
      </c>
      <c r="S126" s="1225">
        <f t="shared" si="13"/>
        <v>164.38328620797989</v>
      </c>
      <c r="T126" s="1228">
        <f t="shared" si="14"/>
        <v>5817.9425166460442</v>
      </c>
      <c r="V126" s="1219">
        <f t="shared" si="19"/>
        <v>0</v>
      </c>
      <c r="W126" s="1229">
        <v>0</v>
      </c>
      <c r="X126" s="1230">
        <v>0</v>
      </c>
      <c r="Y126" s="93"/>
      <c r="Z126" s="1231">
        <f t="shared" si="20"/>
        <v>0</v>
      </c>
      <c r="AA126" s="1232">
        <v>0</v>
      </c>
      <c r="AB126" s="1220">
        <f t="shared" si="15"/>
        <v>0</v>
      </c>
      <c r="AD126" s="1235" t="str">
        <f t="shared" si="16"/>
        <v>Pasco-Hernando State College</v>
      </c>
      <c r="AE126" s="1233">
        <v>0</v>
      </c>
      <c r="AF126" s="1233">
        <v>0</v>
      </c>
      <c r="AG126" s="1225">
        <f t="shared" si="17"/>
        <v>0</v>
      </c>
    </row>
    <row r="127" spans="1:49" ht="25.35" customHeight="1">
      <c r="A127" s="1235" t="str">
        <f t="shared" si="8"/>
        <v>Pensacola State College</v>
      </c>
      <c r="B127" s="751">
        <v>428</v>
      </c>
      <c r="C127" s="1223"/>
      <c r="D127" s="1117">
        <f t="shared" si="9"/>
        <v>428</v>
      </c>
      <c r="E127" s="1120">
        <v>3135.4001253365518</v>
      </c>
      <c r="F127" s="1224">
        <v>65.004526042150218</v>
      </c>
      <c r="G127" s="1225">
        <f t="shared" si="10"/>
        <v>3200.4046513787021</v>
      </c>
      <c r="H127" s="1226">
        <v>1382.5331942569642</v>
      </c>
      <c r="I127" s="1227">
        <v>20.984722051785493</v>
      </c>
      <c r="J127" s="1225">
        <f t="shared" si="18"/>
        <v>1403.5179163087496</v>
      </c>
      <c r="K127" s="766">
        <v>144.623425104993</v>
      </c>
      <c r="L127" s="752">
        <v>7.3765748950069998</v>
      </c>
      <c r="M127" s="1228">
        <f t="shared" si="11"/>
        <v>152</v>
      </c>
      <c r="N127" s="766">
        <v>0</v>
      </c>
      <c r="O127" s="752">
        <v>0</v>
      </c>
      <c r="P127" s="1228">
        <f t="shared" si="12"/>
        <v>0</v>
      </c>
      <c r="Q127" s="766">
        <v>356.205352266521</v>
      </c>
      <c r="R127" s="1229">
        <v>6.7962861824139811</v>
      </c>
      <c r="S127" s="1225">
        <f t="shared" si="13"/>
        <v>363.00163844893501</v>
      </c>
      <c r="T127" s="1228">
        <f t="shared" si="14"/>
        <v>5546.9242061363875</v>
      </c>
      <c r="V127" s="1219">
        <f t="shared" si="19"/>
        <v>0</v>
      </c>
      <c r="W127" s="1229">
        <v>0</v>
      </c>
      <c r="X127" s="1230">
        <v>0</v>
      </c>
      <c r="Y127" s="93"/>
      <c r="Z127" s="1231">
        <f t="shared" si="20"/>
        <v>121.84726688102894</v>
      </c>
      <c r="AA127" s="1232">
        <v>4.1527331189710619</v>
      </c>
      <c r="AB127" s="1220">
        <f t="shared" si="15"/>
        <v>126</v>
      </c>
      <c r="AD127" s="1235" t="str">
        <f t="shared" si="16"/>
        <v>Pensacola State College</v>
      </c>
      <c r="AE127" s="1233">
        <v>112</v>
      </c>
      <c r="AF127" s="1233">
        <v>14</v>
      </c>
      <c r="AG127" s="1225">
        <f t="shared" si="17"/>
        <v>126</v>
      </c>
    </row>
    <row r="128" spans="1:49" ht="25.35" customHeight="1">
      <c r="A128" s="1235" t="str">
        <f t="shared" si="8"/>
        <v>Polk State College</v>
      </c>
      <c r="B128" s="751">
        <v>670</v>
      </c>
      <c r="C128" s="1223"/>
      <c r="D128" s="1117">
        <f t="shared" si="9"/>
        <v>670</v>
      </c>
      <c r="E128" s="1120">
        <v>2894.2159892005398</v>
      </c>
      <c r="F128" s="1224">
        <v>63.845582720863959</v>
      </c>
      <c r="G128" s="1225">
        <f t="shared" si="10"/>
        <v>2958.0615719214038</v>
      </c>
      <c r="H128" s="1226">
        <v>1290.3967492161003</v>
      </c>
      <c r="I128" s="1227">
        <v>21.303513150316761</v>
      </c>
      <c r="J128" s="1225">
        <f t="shared" si="18"/>
        <v>1311.7002623664171</v>
      </c>
      <c r="K128" s="766">
        <v>127.81888745148771</v>
      </c>
      <c r="L128" s="752">
        <v>8.1811125485122904</v>
      </c>
      <c r="M128" s="1228">
        <f t="shared" si="11"/>
        <v>136</v>
      </c>
      <c r="N128" s="766">
        <v>59.734904270986746</v>
      </c>
      <c r="O128" s="752">
        <v>0.26509572901325473</v>
      </c>
      <c r="P128" s="1228">
        <f t="shared" si="12"/>
        <v>60</v>
      </c>
      <c r="Q128" s="766">
        <v>93.911737089201878</v>
      </c>
      <c r="R128" s="1229">
        <v>8.8262910798122068E-2</v>
      </c>
      <c r="S128" s="1225">
        <f t="shared" si="13"/>
        <v>94</v>
      </c>
      <c r="T128" s="1228">
        <f t="shared" si="14"/>
        <v>5229.7618342878213</v>
      </c>
      <c r="V128" s="1219">
        <f t="shared" si="19"/>
        <v>0</v>
      </c>
      <c r="W128" s="1229">
        <v>0</v>
      </c>
      <c r="X128" s="1230">
        <v>0</v>
      </c>
      <c r="Y128" s="93"/>
      <c r="Z128" s="1231">
        <f t="shared" si="20"/>
        <v>0</v>
      </c>
      <c r="AA128" s="1232">
        <v>0</v>
      </c>
      <c r="AB128" s="1220">
        <f t="shared" si="15"/>
        <v>0</v>
      </c>
      <c r="AD128" s="1235" t="str">
        <f t="shared" si="16"/>
        <v>Polk State College</v>
      </c>
      <c r="AE128" s="1233">
        <v>0</v>
      </c>
      <c r="AF128" s="1233">
        <v>0</v>
      </c>
      <c r="AG128" s="1225">
        <f t="shared" si="17"/>
        <v>0</v>
      </c>
    </row>
    <row r="129" spans="1:48" ht="25.35" customHeight="1">
      <c r="A129" s="1235" t="str">
        <f t="shared" si="8"/>
        <v>St. Johns River State College</v>
      </c>
      <c r="B129" s="751">
        <v>240</v>
      </c>
      <c r="C129" s="1223"/>
      <c r="D129" s="1117">
        <f t="shared" si="9"/>
        <v>240</v>
      </c>
      <c r="E129" s="1120">
        <v>2050.5032587742112</v>
      </c>
      <c r="F129" s="1224">
        <v>49.576512346623424</v>
      </c>
      <c r="G129" s="1225">
        <f t="shared" si="10"/>
        <v>2100.0797711208347</v>
      </c>
      <c r="H129" s="1226">
        <v>816.01495124593714</v>
      </c>
      <c r="I129" s="1227">
        <v>11.187865655471288</v>
      </c>
      <c r="J129" s="1225">
        <f t="shared" si="18"/>
        <v>827.20281690140848</v>
      </c>
      <c r="K129" s="766">
        <v>31.828402366863905</v>
      </c>
      <c r="L129" s="752">
        <v>1.1715976331360947</v>
      </c>
      <c r="M129" s="1228">
        <f t="shared" si="11"/>
        <v>33</v>
      </c>
      <c r="N129" s="766">
        <v>39</v>
      </c>
      <c r="O129" s="752">
        <v>0</v>
      </c>
      <c r="P129" s="1228">
        <f t="shared" si="12"/>
        <v>39</v>
      </c>
      <c r="Q129" s="766">
        <v>88.452278589853833</v>
      </c>
      <c r="R129" s="1229">
        <v>0</v>
      </c>
      <c r="S129" s="1225">
        <f t="shared" si="13"/>
        <v>88.452278589853833</v>
      </c>
      <c r="T129" s="1228">
        <f t="shared" si="14"/>
        <v>3327.734866612097</v>
      </c>
      <c r="V129" s="1219">
        <f t="shared" si="19"/>
        <v>0</v>
      </c>
      <c r="W129" s="1229">
        <v>0</v>
      </c>
      <c r="X129" s="1230">
        <v>0</v>
      </c>
      <c r="Y129" s="93"/>
      <c r="Z129" s="1231">
        <f t="shared" si="20"/>
        <v>26</v>
      </c>
      <c r="AA129" s="1232">
        <v>0</v>
      </c>
      <c r="AB129" s="1220">
        <f t="shared" si="15"/>
        <v>26</v>
      </c>
      <c r="AD129" s="1235" t="str">
        <f t="shared" si="16"/>
        <v>St. Johns River State College</v>
      </c>
      <c r="AE129" s="1233">
        <v>26</v>
      </c>
      <c r="AF129" s="1233">
        <v>0</v>
      </c>
      <c r="AG129" s="1225">
        <f t="shared" si="17"/>
        <v>26</v>
      </c>
    </row>
    <row r="130" spans="1:48" ht="25.35" customHeight="1">
      <c r="A130" s="1235" t="str">
        <f t="shared" si="8"/>
        <v>St. Petersburg College</v>
      </c>
      <c r="B130" s="751">
        <v>2654</v>
      </c>
      <c r="C130" s="1223"/>
      <c r="D130" s="1117">
        <f t="shared" si="9"/>
        <v>2654</v>
      </c>
      <c r="E130" s="1120">
        <v>7358.9530651531095</v>
      </c>
      <c r="F130" s="1224">
        <v>244.23027843378514</v>
      </c>
      <c r="G130" s="1225">
        <f t="shared" si="10"/>
        <v>7603.1833435868948</v>
      </c>
      <c r="H130" s="1226">
        <v>4458.0904578731852</v>
      </c>
      <c r="I130" s="1227">
        <v>131.12317491831081</v>
      </c>
      <c r="J130" s="1225">
        <f t="shared" si="18"/>
        <v>4589.2136327914959</v>
      </c>
      <c r="K130" s="766">
        <v>369.70439041455307</v>
      </c>
      <c r="L130" s="752">
        <v>30.295609585446915</v>
      </c>
      <c r="M130" s="1228">
        <f t="shared" si="11"/>
        <v>400</v>
      </c>
      <c r="N130" s="766">
        <v>0</v>
      </c>
      <c r="O130" s="752">
        <v>0</v>
      </c>
      <c r="P130" s="1228">
        <f t="shared" si="12"/>
        <v>0</v>
      </c>
      <c r="Q130" s="766">
        <v>177.20207253886011</v>
      </c>
      <c r="R130" s="1229">
        <v>2.7979274611398965</v>
      </c>
      <c r="S130" s="1225">
        <f t="shared" si="13"/>
        <v>180</v>
      </c>
      <c r="T130" s="1228">
        <f t="shared" si="14"/>
        <v>15426.39697637839</v>
      </c>
      <c r="V130" s="1219">
        <f t="shared" si="19"/>
        <v>0</v>
      </c>
      <c r="W130" s="1229">
        <v>0</v>
      </c>
      <c r="X130" s="1230">
        <v>0</v>
      </c>
      <c r="Y130" s="93"/>
      <c r="Z130" s="1231">
        <f t="shared" si="20"/>
        <v>0</v>
      </c>
      <c r="AA130" s="1232">
        <v>0</v>
      </c>
      <c r="AB130" s="1220">
        <f t="shared" si="15"/>
        <v>0</v>
      </c>
      <c r="AD130" s="1235" t="str">
        <f t="shared" si="16"/>
        <v>St. Petersburg College</v>
      </c>
      <c r="AE130" s="1233">
        <v>0</v>
      </c>
      <c r="AF130" s="1233">
        <v>0</v>
      </c>
      <c r="AG130" s="1225">
        <f t="shared" si="17"/>
        <v>0</v>
      </c>
    </row>
    <row r="131" spans="1:48" ht="25.35" customHeight="1">
      <c r="A131" s="1235" t="str">
        <f t="shared" si="8"/>
        <v>Santa Fe College</v>
      </c>
      <c r="B131" s="751">
        <v>488</v>
      </c>
      <c r="C131" s="1223"/>
      <c r="D131" s="1117">
        <f t="shared" si="9"/>
        <v>488</v>
      </c>
      <c r="E131" s="1120">
        <v>5243.4374491456465</v>
      </c>
      <c r="F131" s="1224">
        <v>377.68663547599675</v>
      </c>
      <c r="G131" s="1225">
        <f t="shared" si="10"/>
        <v>5621.1240846216433</v>
      </c>
      <c r="H131" s="1226">
        <v>2018.3643728077502</v>
      </c>
      <c r="I131" s="1227">
        <v>100.71028895941205</v>
      </c>
      <c r="J131" s="1225">
        <f t="shared" si="18"/>
        <v>2119.0746617671621</v>
      </c>
      <c r="K131" s="766">
        <v>162.79481132075472</v>
      </c>
      <c r="L131" s="752">
        <v>37.205188679245282</v>
      </c>
      <c r="M131" s="1228">
        <f t="shared" si="11"/>
        <v>200</v>
      </c>
      <c r="N131" s="766">
        <v>0</v>
      </c>
      <c r="O131" s="752">
        <v>0</v>
      </c>
      <c r="P131" s="1228">
        <f t="shared" si="12"/>
        <v>0</v>
      </c>
      <c r="Q131" s="766">
        <v>214.71138211382114</v>
      </c>
      <c r="R131" s="1229">
        <v>4.0925925925925926</v>
      </c>
      <c r="S131" s="1225">
        <f t="shared" si="13"/>
        <v>218.80397470641373</v>
      </c>
      <c r="T131" s="1228">
        <f t="shared" si="14"/>
        <v>8647.0027210952194</v>
      </c>
      <c r="V131" s="1219">
        <f t="shared" si="19"/>
        <v>0</v>
      </c>
      <c r="W131" s="1229">
        <v>0</v>
      </c>
      <c r="X131" s="1230">
        <v>0</v>
      </c>
      <c r="Y131" s="93"/>
      <c r="Z131" s="1231">
        <f t="shared" si="20"/>
        <v>21.266787658802158</v>
      </c>
      <c r="AA131" s="1232">
        <v>86.733212341197842</v>
      </c>
      <c r="AB131" s="1220">
        <f t="shared" si="15"/>
        <v>108</v>
      </c>
      <c r="AD131" s="1235" t="str">
        <f t="shared" si="16"/>
        <v>Santa Fe College</v>
      </c>
      <c r="AE131" s="1233">
        <v>108</v>
      </c>
      <c r="AF131" s="1233">
        <v>0</v>
      </c>
      <c r="AG131" s="1225">
        <f t="shared" si="17"/>
        <v>108</v>
      </c>
    </row>
    <row r="132" spans="1:48" ht="25.35" customHeight="1">
      <c r="A132" s="1235" t="str">
        <f t="shared" si="8"/>
        <v>Seminole State College of Florida</v>
      </c>
      <c r="B132" s="751">
        <v>947</v>
      </c>
      <c r="C132" s="1223"/>
      <c r="D132" s="1117">
        <f t="shared" si="9"/>
        <v>947</v>
      </c>
      <c r="E132" s="1120">
        <v>6019.4681356475603</v>
      </c>
      <c r="F132" s="1224">
        <v>171.19289118174268</v>
      </c>
      <c r="G132" s="1225">
        <f t="shared" si="10"/>
        <v>6190.6610268293034</v>
      </c>
      <c r="H132" s="1226">
        <v>2582.0584882112862</v>
      </c>
      <c r="I132" s="1227">
        <v>129.22885958107062</v>
      </c>
      <c r="J132" s="1225">
        <f t="shared" si="18"/>
        <v>2711.2873477923567</v>
      </c>
      <c r="K132" s="766">
        <v>138.5286294791282</v>
      </c>
      <c r="L132" s="752">
        <v>8.4713705208718135</v>
      </c>
      <c r="M132" s="1228">
        <f t="shared" si="11"/>
        <v>147</v>
      </c>
      <c r="N132" s="766">
        <v>83.642553191489355</v>
      </c>
      <c r="O132" s="752">
        <v>0.35744680851063831</v>
      </c>
      <c r="P132" s="1228">
        <f t="shared" si="12"/>
        <v>84</v>
      </c>
      <c r="Q132" s="766">
        <v>174.67330524703178</v>
      </c>
      <c r="R132" s="1229">
        <v>11.32669475296821</v>
      </c>
      <c r="S132" s="1225">
        <f t="shared" si="13"/>
        <v>186</v>
      </c>
      <c r="T132" s="1228">
        <f t="shared" si="14"/>
        <v>10265.948374621661</v>
      </c>
      <c r="V132" s="1219">
        <f t="shared" si="19"/>
        <v>0</v>
      </c>
      <c r="W132" s="1229">
        <v>0</v>
      </c>
      <c r="X132" s="1230">
        <v>0</v>
      </c>
      <c r="Y132" s="93"/>
      <c r="Z132" s="1231">
        <f t="shared" si="20"/>
        <v>130.30724789915968</v>
      </c>
      <c r="AA132" s="1232">
        <v>298.69275210084032</v>
      </c>
      <c r="AB132" s="1220">
        <f t="shared" si="15"/>
        <v>429</v>
      </c>
      <c r="AD132" s="1235" t="str">
        <f t="shared" si="16"/>
        <v>Seminole State College of Florida</v>
      </c>
      <c r="AE132" s="1233">
        <v>308</v>
      </c>
      <c r="AF132" s="1233">
        <v>121</v>
      </c>
      <c r="AG132" s="1225">
        <f t="shared" si="17"/>
        <v>429</v>
      </c>
    </row>
    <row r="133" spans="1:48" ht="25.35" customHeight="1">
      <c r="A133" s="1235" t="str">
        <f t="shared" si="8"/>
        <v>South Florida State College</v>
      </c>
      <c r="B133" s="751">
        <v>113</v>
      </c>
      <c r="C133" s="1223"/>
      <c r="D133" s="1117">
        <f t="shared" si="9"/>
        <v>113</v>
      </c>
      <c r="E133" s="1120">
        <v>1204.5496104961048</v>
      </c>
      <c r="F133" s="1224">
        <v>8.6502665026650263</v>
      </c>
      <c r="G133" s="1225">
        <f t="shared" si="10"/>
        <v>1213.1998769987699</v>
      </c>
      <c r="H133" s="1226">
        <v>4</v>
      </c>
      <c r="I133" s="1227">
        <v>0</v>
      </c>
      <c r="J133" s="1225">
        <f t="shared" si="18"/>
        <v>4</v>
      </c>
      <c r="K133" s="766">
        <v>9.8952879581151834</v>
      </c>
      <c r="L133" s="752">
        <v>0.10471204188481675</v>
      </c>
      <c r="M133" s="1228">
        <f t="shared" si="11"/>
        <v>10</v>
      </c>
      <c r="N133" s="766">
        <v>0</v>
      </c>
      <c r="O133" s="752">
        <v>0</v>
      </c>
      <c r="P133" s="1228">
        <f t="shared" si="12"/>
        <v>0</v>
      </c>
      <c r="Q133" s="766">
        <v>237.04656716417912</v>
      </c>
      <c r="R133" s="1229">
        <v>2.2495522388059701</v>
      </c>
      <c r="S133" s="1225">
        <f t="shared" si="13"/>
        <v>239.29611940298508</v>
      </c>
      <c r="T133" s="1228">
        <f t="shared" si="14"/>
        <v>1579.4959964017551</v>
      </c>
      <c r="V133" s="1219">
        <f t="shared" si="19"/>
        <v>0</v>
      </c>
      <c r="W133" s="1229">
        <v>0</v>
      </c>
      <c r="X133" s="1230">
        <v>0</v>
      </c>
      <c r="Y133" s="93"/>
      <c r="Z133" s="1231">
        <f t="shared" si="20"/>
        <v>105.42150537634407</v>
      </c>
      <c r="AA133" s="1232">
        <v>192.57849462365593</v>
      </c>
      <c r="AB133" s="1220">
        <f t="shared" si="15"/>
        <v>298</v>
      </c>
      <c r="AD133" s="1235" t="str">
        <f t="shared" si="16"/>
        <v>South Florida State College</v>
      </c>
      <c r="AE133" s="1233">
        <v>296</v>
      </c>
      <c r="AF133" s="1233">
        <v>2</v>
      </c>
      <c r="AG133" s="1225">
        <f t="shared" si="17"/>
        <v>298</v>
      </c>
    </row>
    <row r="134" spans="1:48" ht="25.35" customHeight="1">
      <c r="A134" s="1235" t="str">
        <f t="shared" si="8"/>
        <v>Tallahassee Community College</v>
      </c>
      <c r="B134" s="751">
        <v>36</v>
      </c>
      <c r="C134" s="1223"/>
      <c r="D134" s="1117">
        <f t="shared" si="9"/>
        <v>36</v>
      </c>
      <c r="E134" s="1120">
        <v>6461.9015041039956</v>
      </c>
      <c r="F134" s="1224">
        <v>307.20611641181614</v>
      </c>
      <c r="G134" s="1225">
        <f t="shared" si="10"/>
        <v>6769.1076205158115</v>
      </c>
      <c r="H134" s="1226">
        <v>1159.1460211176925</v>
      </c>
      <c r="I134" s="1227">
        <v>37.455575585887196</v>
      </c>
      <c r="J134" s="1225">
        <f t="shared" si="18"/>
        <v>1196.6015967035796</v>
      </c>
      <c r="K134" s="766">
        <v>68.352828379674023</v>
      </c>
      <c r="L134" s="752">
        <v>9.6471716203259827</v>
      </c>
      <c r="M134" s="1228">
        <f t="shared" si="11"/>
        <v>78</v>
      </c>
      <c r="N134" s="766">
        <v>0</v>
      </c>
      <c r="O134" s="752">
        <v>0</v>
      </c>
      <c r="P134" s="1228">
        <f t="shared" si="12"/>
        <v>0</v>
      </c>
      <c r="Q134" s="766">
        <v>292.80520798106187</v>
      </c>
      <c r="R134" s="1229">
        <v>2.1947920189381134</v>
      </c>
      <c r="S134" s="1225">
        <f t="shared" si="13"/>
        <v>295</v>
      </c>
      <c r="T134" s="1228">
        <f t="shared" si="14"/>
        <v>8374.7092172193916</v>
      </c>
      <c r="V134" s="1219">
        <f t="shared" si="19"/>
        <v>0</v>
      </c>
      <c r="W134" s="1229">
        <v>0</v>
      </c>
      <c r="X134" s="1230">
        <v>0</v>
      </c>
      <c r="Y134" s="93"/>
      <c r="Z134" s="1231">
        <f t="shared" si="20"/>
        <v>4.8556430446194128</v>
      </c>
      <c r="AA134" s="1232">
        <v>32.144356955380587</v>
      </c>
      <c r="AB134" s="1220">
        <f t="shared" si="15"/>
        <v>37</v>
      </c>
      <c r="AD134" s="1235" t="str">
        <f t="shared" si="16"/>
        <v>Tallahassee Community College</v>
      </c>
      <c r="AE134" s="1233">
        <v>37</v>
      </c>
      <c r="AF134" s="1233">
        <v>0</v>
      </c>
      <c r="AG134" s="1225">
        <f t="shared" si="17"/>
        <v>37</v>
      </c>
    </row>
    <row r="135" spans="1:48" ht="25.35" customHeight="1" thickBot="1">
      <c r="A135" s="1241" t="str">
        <f t="shared" si="8"/>
        <v>Valencia College</v>
      </c>
      <c r="B135" s="700">
        <v>1130</v>
      </c>
      <c r="C135" s="732"/>
      <c r="D135" s="1118">
        <f t="shared" si="9"/>
        <v>1130</v>
      </c>
      <c r="E135" s="1122">
        <v>19064.305431996545</v>
      </c>
      <c r="F135" s="733">
        <v>1307.4846737895377</v>
      </c>
      <c r="G135" s="701">
        <f t="shared" si="10"/>
        <v>20371.790105786084</v>
      </c>
      <c r="H135" s="1242">
        <v>7973.1197528182101</v>
      </c>
      <c r="I135" s="1243">
        <v>443.59485359789511</v>
      </c>
      <c r="J135" s="1244">
        <f t="shared" si="18"/>
        <v>8416.7146064161061</v>
      </c>
      <c r="K135" s="767">
        <v>781.5128384279476</v>
      </c>
      <c r="L135" s="768">
        <v>101.4871615720524</v>
      </c>
      <c r="M135" s="1245">
        <f t="shared" si="11"/>
        <v>883</v>
      </c>
      <c r="N135" s="767">
        <v>88.499296765119553</v>
      </c>
      <c r="O135" s="768">
        <v>0.50070323488045021</v>
      </c>
      <c r="P135" s="1245">
        <f t="shared" si="12"/>
        <v>89</v>
      </c>
      <c r="Q135" s="767">
        <v>207.51810903545558</v>
      </c>
      <c r="R135" s="1246">
        <v>16.481890964544416</v>
      </c>
      <c r="S135" s="701">
        <f t="shared" si="13"/>
        <v>224</v>
      </c>
      <c r="T135" s="1245">
        <f t="shared" si="14"/>
        <v>31114.50471220219</v>
      </c>
      <c r="V135" s="1219">
        <f t="shared" si="19"/>
        <v>0</v>
      </c>
      <c r="W135" s="591">
        <v>0</v>
      </c>
      <c r="X135" s="592">
        <v>0</v>
      </c>
      <c r="Y135" s="93"/>
      <c r="Z135" s="769">
        <f t="shared" si="20"/>
        <v>0</v>
      </c>
      <c r="AA135" s="1247">
        <v>0</v>
      </c>
      <c r="AB135" s="1220">
        <f t="shared" si="15"/>
        <v>0</v>
      </c>
      <c r="AD135" s="1241" t="str">
        <f t="shared" si="16"/>
        <v>Valencia College</v>
      </c>
      <c r="AE135" s="1248">
        <v>0</v>
      </c>
      <c r="AF135" s="1248">
        <v>0</v>
      </c>
      <c r="AG135" s="701">
        <f t="shared" si="17"/>
        <v>0</v>
      </c>
    </row>
    <row r="136" spans="1:48" ht="25.35" customHeight="1" thickBot="1">
      <c r="A136" s="493" t="s">
        <v>50</v>
      </c>
      <c r="B136" s="494">
        <f t="shared" ref="B136" si="21">SUM(B108:B135)</f>
        <v>19660</v>
      </c>
      <c r="C136" s="80"/>
      <c r="D136" s="509">
        <f t="shared" ref="D136:T136" si="22">SUM(D108:D135)</f>
        <v>19660</v>
      </c>
      <c r="E136" s="1119">
        <f t="shared" si="22"/>
        <v>162815.13910252927</v>
      </c>
      <c r="F136" s="495">
        <f t="shared" si="22"/>
        <v>6786.9859934065043</v>
      </c>
      <c r="G136" s="509">
        <f t="shared" si="22"/>
        <v>169602.12509593577</v>
      </c>
      <c r="H136" s="520">
        <f t="shared" si="22"/>
        <v>53026.40994247693</v>
      </c>
      <c r="I136" s="495">
        <f t="shared" si="22"/>
        <v>1980.4731969506479</v>
      </c>
      <c r="J136" s="509">
        <f t="shared" si="22"/>
        <v>55006.883139427555</v>
      </c>
      <c r="K136" s="520">
        <f t="shared" si="22"/>
        <v>5808.9102804526956</v>
      </c>
      <c r="L136" s="522">
        <f t="shared" si="22"/>
        <v>495.08971954730561</v>
      </c>
      <c r="M136" s="510">
        <f t="shared" si="22"/>
        <v>6304</v>
      </c>
      <c r="N136" s="520">
        <f t="shared" si="22"/>
        <v>484.04055370315842</v>
      </c>
      <c r="O136" s="522">
        <f t="shared" si="22"/>
        <v>3.9594462968415871</v>
      </c>
      <c r="P136" s="510">
        <f t="shared" si="22"/>
        <v>488</v>
      </c>
      <c r="Q136" s="519">
        <f t="shared" si="22"/>
        <v>7472.3985950467732</v>
      </c>
      <c r="R136" s="521">
        <f t="shared" si="22"/>
        <v>200.50695927513911</v>
      </c>
      <c r="S136" s="511">
        <f t="shared" si="22"/>
        <v>7672.9055543219147</v>
      </c>
      <c r="T136" s="81">
        <f t="shared" si="22"/>
        <v>258733.91378968526</v>
      </c>
      <c r="U136" s="82"/>
      <c r="V136" s="512">
        <f t="shared" ref="V136:AB136" si="23">SUM(V108:V135)</f>
        <v>3</v>
      </c>
      <c r="W136" s="520">
        <f t="shared" si="23"/>
        <v>0</v>
      </c>
      <c r="X136" s="518">
        <f t="shared" si="23"/>
        <v>3</v>
      </c>
      <c r="Y136" s="83"/>
      <c r="Z136" s="512">
        <f t="shared" si="23"/>
        <v>1676.7446159756121</v>
      </c>
      <c r="AA136" s="519">
        <f t="shared" si="23"/>
        <v>1853.2553840243879</v>
      </c>
      <c r="AB136" s="514">
        <f t="shared" si="23"/>
        <v>3530</v>
      </c>
      <c r="AC136" s="82"/>
      <c r="AD136" s="493" t="s">
        <v>50</v>
      </c>
      <c r="AE136" s="518">
        <f>SUM(AE108:AE135)</f>
        <v>3331</v>
      </c>
      <c r="AF136" s="518">
        <f>SUM(AF108:AF135)</f>
        <v>199</v>
      </c>
      <c r="AG136" s="509">
        <f>SUM(AG108:AG135)</f>
        <v>3530</v>
      </c>
      <c r="AH136" s="82"/>
      <c r="AI136" s="82"/>
      <c r="AJ136" s="82"/>
      <c r="AK136" s="82"/>
      <c r="AL136" s="82"/>
      <c r="AM136" s="82"/>
      <c r="AN136" s="82"/>
      <c r="AO136" s="82"/>
      <c r="AP136" s="82"/>
      <c r="AQ136" s="82"/>
      <c r="AR136" s="82"/>
    </row>
    <row r="137" spans="1:48" ht="14.1" customHeight="1">
      <c r="A137" s="486"/>
      <c r="B137" s="487"/>
      <c r="C137" s="487"/>
      <c r="D137" s="487"/>
      <c r="E137" s="487"/>
      <c r="F137" s="487"/>
      <c r="G137" s="487"/>
      <c r="H137" s="487"/>
      <c r="I137" s="487"/>
      <c r="J137" s="487"/>
      <c r="K137" s="487"/>
      <c r="L137" s="487"/>
      <c r="M137" s="487"/>
      <c r="N137" s="487"/>
      <c r="O137" s="487"/>
      <c r="P137" s="487"/>
      <c r="Q137" s="487"/>
      <c r="R137" s="487"/>
      <c r="S137" s="487"/>
      <c r="T137" s="487"/>
      <c r="U137" s="491"/>
      <c r="V137" s="489"/>
      <c r="W137" s="489"/>
      <c r="X137" s="489"/>
      <c r="Y137" s="489"/>
      <c r="Z137" s="489"/>
      <c r="AA137" s="489"/>
      <c r="AB137" s="489"/>
      <c r="AC137" s="491"/>
      <c r="AD137" s="486"/>
      <c r="AE137" s="84"/>
      <c r="AF137" s="84"/>
      <c r="AG137" s="84"/>
      <c r="AH137" s="488"/>
      <c r="AI137" s="488"/>
      <c r="AJ137" s="488"/>
      <c r="AK137" s="488"/>
      <c r="AL137" s="488"/>
      <c r="AM137" s="488"/>
      <c r="AN137" s="488"/>
      <c r="AO137" s="488"/>
      <c r="AP137" s="488"/>
      <c r="AQ137" s="488"/>
      <c r="AR137" s="488"/>
      <c r="AS137" s="27"/>
      <c r="AT137" s="27"/>
      <c r="AU137" s="27"/>
      <c r="AV137" s="27"/>
    </row>
    <row r="138" spans="1:48">
      <c r="A138" s="20" t="s">
        <v>780</v>
      </c>
      <c r="B138" s="37"/>
      <c r="C138" s="37"/>
      <c r="D138" s="37"/>
      <c r="E138" s="37"/>
      <c r="F138" s="37"/>
      <c r="G138" s="37"/>
      <c r="H138" s="37"/>
      <c r="I138" s="37"/>
      <c r="J138" s="37"/>
      <c r="K138" s="37"/>
      <c r="L138" s="37"/>
      <c r="M138" s="37"/>
      <c r="N138" s="37"/>
      <c r="O138" s="37"/>
      <c r="P138" s="37"/>
      <c r="Q138" s="37"/>
      <c r="R138" s="37"/>
      <c r="S138" s="37"/>
      <c r="T138" s="37"/>
      <c r="U138" s="19"/>
      <c r="V138" s="63"/>
      <c r="W138" s="63"/>
      <c r="X138" s="63"/>
      <c r="Y138" s="63"/>
      <c r="Z138" s="63"/>
      <c r="AA138" s="63"/>
      <c r="AB138" s="63"/>
      <c r="AC138" s="24"/>
    </row>
    <row r="139" spans="1:48">
      <c r="A139" s="20" t="s">
        <v>100</v>
      </c>
      <c r="E139" s="37"/>
      <c r="F139" s="37"/>
      <c r="G139" s="37"/>
      <c r="H139" s="37"/>
      <c r="I139" s="37"/>
      <c r="J139" s="37"/>
      <c r="K139" s="37"/>
      <c r="L139" s="37"/>
      <c r="M139" s="37"/>
      <c r="N139" s="37"/>
      <c r="O139" s="37"/>
      <c r="P139" s="37"/>
      <c r="Q139" s="37"/>
      <c r="R139" s="37"/>
      <c r="S139" s="37"/>
      <c r="T139" s="37"/>
      <c r="U139" s="19"/>
      <c r="V139" s="63"/>
      <c r="W139" s="63"/>
      <c r="X139" s="63"/>
      <c r="Y139" s="63"/>
      <c r="Z139" s="73"/>
      <c r="AA139" s="63"/>
      <c r="AB139" s="63"/>
      <c r="AC139" s="24"/>
    </row>
    <row r="140" spans="1:48">
      <c r="A140" s="1301" t="s">
        <v>101</v>
      </c>
      <c r="B140" s="1301"/>
      <c r="C140" s="1301"/>
      <c r="D140" s="1301"/>
      <c r="E140" s="94"/>
    </row>
    <row r="141" spans="1:48">
      <c r="A141" s="1297" t="s">
        <v>102</v>
      </c>
      <c r="B141" s="1297"/>
      <c r="C141" s="1297"/>
      <c r="D141" s="1297"/>
    </row>
    <row r="142" spans="1:48">
      <c r="A142" s="1298" t="s">
        <v>103</v>
      </c>
      <c r="B142" s="1298"/>
      <c r="C142" s="1298"/>
      <c r="D142" s="1298"/>
      <c r="E142" s="1298"/>
    </row>
    <row r="144" spans="1:48" ht="54.6" customHeight="1"/>
    <row r="174" spans="1:6">
      <c r="A174" s="37"/>
      <c r="B174" s="24"/>
      <c r="C174" s="24"/>
      <c r="D174" s="24"/>
      <c r="E174" s="24"/>
      <c r="F174" s="37"/>
    </row>
  </sheetData>
  <sheetProtection algorithmName="SHA-512" hashValue="yswY2B9NBc3tiEzptxwSSX/o0oX2Z3JEcWKHcdnCSo0ziF3pKBUZ8ShSx3yaQCVyZpk6T5Bn7L57yfUQK1tAtg==" saltValue="wFhxGF5hpYkwZF1WGo3bjQ==" spinCount="100000" sheet="1" selectLockedCells="1" selectUnlockedCells="1"/>
  <mergeCells count="36">
    <mergeCell ref="A141:D141"/>
    <mergeCell ref="A142:E142"/>
    <mergeCell ref="AI108:AN108"/>
    <mergeCell ref="AI109:AN109"/>
    <mergeCell ref="AI110:AN110"/>
    <mergeCell ref="AI117:AN117"/>
    <mergeCell ref="A140:D140"/>
    <mergeCell ref="AI115:AN115"/>
    <mergeCell ref="Q106:S106"/>
    <mergeCell ref="T106:T107"/>
    <mergeCell ref="V106:X106"/>
    <mergeCell ref="Z106:AB106"/>
    <mergeCell ref="AI106:AO106"/>
    <mergeCell ref="B106:D106"/>
    <mergeCell ref="E106:G106"/>
    <mergeCell ref="H106:J106"/>
    <mergeCell ref="K106:M106"/>
    <mergeCell ref="N106:P106"/>
    <mergeCell ref="T104:T105"/>
    <mergeCell ref="B105:D105"/>
    <mergeCell ref="F105:P105"/>
    <mergeCell ref="Q105:S105"/>
    <mergeCell ref="Z105:AB105"/>
    <mergeCell ref="A1:D1"/>
    <mergeCell ref="A2:D2"/>
    <mergeCell ref="A57:B57"/>
    <mergeCell ref="B64:E64"/>
    <mergeCell ref="A97:R97"/>
    <mergeCell ref="B5:D5"/>
    <mergeCell ref="A37:D37"/>
    <mergeCell ref="A36:D36"/>
    <mergeCell ref="A98:R98"/>
    <mergeCell ref="A100:R100"/>
    <mergeCell ref="A101:G101"/>
    <mergeCell ref="B103:D103"/>
    <mergeCell ref="E103:S103"/>
  </mergeCells>
  <printOptions horizontalCentered="1"/>
  <pageMargins left="0.95" right="0.7" top="0.75" bottom="0.75" header="0.3" footer="0.3"/>
  <pageSetup scale="21" fitToWidth="0" orientation="landscape"/>
  <rowBreaks count="2" manualBreakCount="2">
    <brk id="60" max="32" man="1"/>
    <brk id="100"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70" zoomScaleNormal="70" zoomScaleSheetLayoutView="51" zoomScalePageLayoutView="60" workbookViewId="0">
      <selection activeCell="E91" sqref="E91"/>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061" t="s">
        <v>11</v>
      </c>
      <c r="B1" s="1061"/>
      <c r="C1" s="1061"/>
      <c r="D1" s="1061"/>
      <c r="E1" s="1061"/>
      <c r="F1" s="1061"/>
      <c r="G1" s="1061"/>
      <c r="H1" s="957"/>
      <c r="I1" s="957"/>
    </row>
    <row r="2" spans="1:53" ht="20.100000000000001" customHeight="1">
      <c r="A2" s="1061" t="s">
        <v>738</v>
      </c>
      <c r="B2" s="1061"/>
      <c r="C2" s="1061"/>
      <c r="D2" s="1061"/>
      <c r="E2" s="1061"/>
      <c r="F2" s="1061"/>
      <c r="G2" s="1061"/>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061"/>
      <c r="B3" s="1061"/>
      <c r="C3" s="1061"/>
      <c r="D3" s="1061"/>
      <c r="E3" s="1061"/>
      <c r="F3" s="1061"/>
      <c r="G3" s="1061"/>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062" t="s">
        <v>104</v>
      </c>
      <c r="B4" s="1062"/>
      <c r="C4" s="1062"/>
      <c r="D4" s="1062"/>
      <c r="E4" s="1062"/>
      <c r="F4" s="1062"/>
      <c r="G4" s="1062"/>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105</v>
      </c>
      <c r="C7" s="104" t="s">
        <v>106</v>
      </c>
      <c r="D7" s="956" t="s">
        <v>43</v>
      </c>
      <c r="E7" s="1110"/>
      <c r="F7" s="1110"/>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56" t="s">
        <v>107</v>
      </c>
      <c r="B10" s="108"/>
      <c r="C10" s="1063" t="s">
        <v>779</v>
      </c>
      <c r="D10" s="1063"/>
      <c r="E10" s="1063"/>
      <c r="F10" s="1063"/>
      <c r="G10" s="1063"/>
      <c r="H10" s="110"/>
      <c r="I10" s="665"/>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4"/>
      <c r="D11" s="554"/>
      <c r="E11" s="554"/>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59" t="s">
        <v>108</v>
      </c>
      <c r="D12" s="959"/>
      <c r="E12" s="959"/>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109</v>
      </c>
      <c r="B15" s="108"/>
      <c r="C15" s="961" t="s">
        <v>110</v>
      </c>
      <c r="D15" s="961"/>
      <c r="E15" s="961"/>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61"/>
      <c r="B16" s="961"/>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969">
        <f>IF(+'EXHIBIT A'!E44&gt;=0.0499,+'EXHIBIT A'!E44,"PERCENTAGE DOES NOT MEET STATUTORY GUIDELINES")</f>
        <v>9.9215902162409109E-2</v>
      </c>
      <c r="D17" s="969"/>
      <c r="E17" s="969"/>
      <c r="F17" s="969"/>
      <c r="G17" s="969"/>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61"/>
      <c r="B18" s="961"/>
      <c r="C18" s="1064" t="s">
        <v>111</v>
      </c>
      <c r="D18" s="1064"/>
      <c r="E18" s="1064"/>
      <c r="F18" s="1064"/>
      <c r="G18" s="1064"/>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61"/>
      <c r="B19" s="961"/>
      <c r="C19" s="957"/>
      <c r="D19" s="957"/>
      <c r="E19" s="957"/>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112</v>
      </c>
      <c r="B21" s="108"/>
      <c r="C21" s="960" t="s">
        <v>113</v>
      </c>
      <c r="D21" s="960"/>
      <c r="E21" s="960"/>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114</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115</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116</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117</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118</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119</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120</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121</v>
      </c>
      <c r="B32" s="120"/>
      <c r="C32" s="114" t="s">
        <v>122</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770"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123</v>
      </c>
      <c r="B37" s="108"/>
      <c r="C37" s="114" t="s">
        <v>124</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125</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739</v>
      </c>
      <c r="E40" s="127" t="str">
        <f>D40</f>
        <v>2021-22</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126</v>
      </c>
      <c r="E41" s="132" t="s">
        <v>127</v>
      </c>
      <c r="F41" s="132"/>
      <c r="G41" s="133" t="s">
        <v>128</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129</v>
      </c>
      <c r="E42" s="132" t="s">
        <v>130</v>
      </c>
      <c r="F42" s="132" t="s">
        <v>131</v>
      </c>
      <c r="G42" s="133" t="s">
        <v>132</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133</v>
      </c>
      <c r="D43" s="131" t="s">
        <v>134</v>
      </c>
      <c r="E43" s="132" t="s">
        <v>135</v>
      </c>
      <c r="F43" s="132" t="s">
        <v>128</v>
      </c>
      <c r="G43" s="135" t="s">
        <v>136</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137</v>
      </c>
      <c r="D44" s="137">
        <f>VLOOKUP($D$7,VLOOKUP!$A$113:$S$141,2)*30+D68</f>
        <v>79620</v>
      </c>
      <c r="E44" s="138">
        <f>+'EXHIBIT C'!F10</f>
        <v>82371.467480117703</v>
      </c>
      <c r="F44" s="139">
        <f t="shared" ref="F44:F50" si="0">IF(D44=0,"0",(E44/D44-1))</f>
        <v>3.4557491586507227E-2</v>
      </c>
      <c r="G44" s="140" t="str">
        <f t="shared" ref="G44:G50" si="1">IF(OR(F44&gt;3%, F44&lt;-3%),"YES","NO")</f>
        <v>YES</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138</v>
      </c>
      <c r="D45" s="771">
        <f>VLOOKUP($D$7,VLOOKUP!$A$113:$S$141,5)*30+D69</f>
        <v>228095.50030760682</v>
      </c>
      <c r="E45" s="142">
        <f>+'EXHIBIT C'!F11</f>
        <v>261744.76155176599</v>
      </c>
      <c r="F45" s="772">
        <f t="shared" si="0"/>
        <v>0.14752268764083554</v>
      </c>
      <c r="G45" s="773"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774" t="s">
        <v>139</v>
      </c>
      <c r="D46" s="775">
        <f>VLOOKUP($D$7,VLOOKUP!$A$113:$S$141,8)*30</f>
        <v>133742.71373619555</v>
      </c>
      <c r="E46" s="776">
        <f>+'EXHIBIT C'!F12</f>
        <v>123464.04744255</v>
      </c>
      <c r="F46" s="772">
        <f t="shared" si="0"/>
        <v>-7.6854028204631719E-2</v>
      </c>
      <c r="G46" s="773" t="str">
        <f t="shared" si="1"/>
        <v>YES</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774" t="s">
        <v>85</v>
      </c>
      <c r="D47" s="775">
        <f>VLOOKUP($D$7,VLOOKUP!$A$113:$S$141,17)*30</f>
        <v>5316.0621761658031</v>
      </c>
      <c r="E47" s="776">
        <f>+'EXHIBIT C'!F13</f>
        <v>6246.3556851311996</v>
      </c>
      <c r="F47" s="772">
        <f t="shared" si="0"/>
        <v>0.17499673219329592</v>
      </c>
      <c r="G47" s="773" t="str">
        <f t="shared" si="1"/>
        <v>YES</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774" t="s">
        <v>140</v>
      </c>
      <c r="D48" s="775">
        <f>VLOOKUP($D$7,VLOOKUP!$A$113:$S$141,11)*30</f>
        <v>11091.131712436592</v>
      </c>
      <c r="E48" s="776">
        <f>+'EXHIBIT C'!F14</f>
        <v>15172.8811465283</v>
      </c>
      <c r="F48" s="772">
        <f t="shared" si="0"/>
        <v>0.36801920127905463</v>
      </c>
      <c r="G48" s="773" t="str">
        <f t="shared" si="1"/>
        <v>YES</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777" t="s">
        <v>141</v>
      </c>
      <c r="D49" s="778">
        <f>VLOOKUP($D$7,VLOOKUP!$A$113:$S$141,14)*30</f>
        <v>0</v>
      </c>
      <c r="E49" s="779">
        <f>+'EXHIBIT C'!F15</f>
        <v>0</v>
      </c>
      <c r="F49" s="780" t="str">
        <f t="shared" si="0"/>
        <v>0</v>
      </c>
      <c r="G49" s="781"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457865.40793240478</v>
      </c>
      <c r="E50" s="145">
        <f>+'EXHIBIT C'!F17</f>
        <v>488999.51330609323</v>
      </c>
      <c r="F50" s="146">
        <f t="shared" si="0"/>
        <v>6.7998378637690982E-2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065" t="s">
        <v>142</v>
      </c>
      <c r="D51" s="1066"/>
      <c r="E51" s="1066"/>
      <c r="F51" s="1066"/>
      <c r="G51" s="1067"/>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966" t="s">
        <v>143</v>
      </c>
      <c r="D52" s="967"/>
      <c r="E52" s="967"/>
      <c r="F52" s="967"/>
      <c r="G52" s="968"/>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302" t="s">
        <v>792</v>
      </c>
      <c r="D53" s="1303"/>
      <c r="E53" s="1303"/>
      <c r="F53" s="1303"/>
      <c r="G53" s="1304"/>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305"/>
      <c r="D54" s="1306"/>
      <c r="E54" s="1306"/>
      <c r="F54" s="1306"/>
      <c r="G54" s="1307"/>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305"/>
      <c r="D55" s="1306"/>
      <c r="E55" s="1306"/>
      <c r="F55" s="1306"/>
      <c r="G55" s="1307"/>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305"/>
      <c r="D56" s="1306"/>
      <c r="E56" s="1306"/>
      <c r="F56" s="1306"/>
      <c r="G56" s="1307"/>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305"/>
      <c r="D57" s="1306"/>
      <c r="E57" s="1306"/>
      <c r="F57" s="1306"/>
      <c r="G57" s="1307"/>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305"/>
      <c r="D58" s="1306"/>
      <c r="E58" s="1306"/>
      <c r="F58" s="1306"/>
      <c r="G58" s="1307"/>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305"/>
      <c r="D59" s="1306"/>
      <c r="E59" s="1306"/>
      <c r="F59" s="1306"/>
      <c r="G59" s="1307"/>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305"/>
      <c r="D60" s="1306"/>
      <c r="E60" s="1306"/>
      <c r="F60" s="1306"/>
      <c r="G60" s="1307"/>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305"/>
      <c r="D61" s="1306"/>
      <c r="E61" s="1306"/>
      <c r="F61" s="1306"/>
      <c r="G61" s="1307"/>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308"/>
      <c r="D62" s="1309"/>
      <c r="E62" s="1309"/>
      <c r="F62" s="1309"/>
      <c r="G62" s="1310"/>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2021-22</v>
      </c>
      <c r="E64" s="127" t="str">
        <f>E40</f>
        <v>2021-22</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144</v>
      </c>
      <c r="E65" s="132" t="s">
        <v>145</v>
      </c>
      <c r="F65" s="132"/>
      <c r="G65" s="135" t="s">
        <v>128</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129</v>
      </c>
      <c r="E66" s="132" t="s">
        <v>130</v>
      </c>
      <c r="F66" s="132" t="s">
        <v>131</v>
      </c>
      <c r="G66" s="135" t="s">
        <v>132</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146</v>
      </c>
      <c r="D67" s="155" t="s">
        <v>134</v>
      </c>
      <c r="E67" s="156" t="s">
        <v>135</v>
      </c>
      <c r="F67" s="156" t="s">
        <v>128</v>
      </c>
      <c r="G67" s="157" t="s">
        <v>147</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137</v>
      </c>
      <c r="D68" s="782">
        <f>VLOOKUP($D$7,VLOOKUP!$A$113:$S$141,3)*30</f>
        <v>0</v>
      </c>
      <c r="E68" s="158">
        <f>+'EXHIBIT C'!D19</f>
        <v>1718.9924872065001</v>
      </c>
      <c r="F68" s="783" t="str">
        <f t="shared" ref="F68:F74" si="2">IF(D68=0,"0",(E68/D68-1))</f>
        <v>0</v>
      </c>
      <c r="G68" s="784"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138</v>
      </c>
      <c r="D69" s="782">
        <f>VLOOKUP($D$7,VLOOKUP!$A$113:$S$141,6)*30</f>
        <v>7326.908353013554</v>
      </c>
      <c r="E69" s="159">
        <f>+'EXHIBIT C'!D20</f>
        <v>11280.9318022801</v>
      </c>
      <c r="F69" s="783">
        <f t="shared" si="2"/>
        <v>0.53965782820802688</v>
      </c>
      <c r="G69" s="784" t="str">
        <f t="shared" ref="G69:G74" si="3">IF(OR(F69&gt;5%, F69&lt;-5%),"YES","NO")</f>
        <v>YES</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774" t="s">
        <v>139</v>
      </c>
      <c r="D70" s="785">
        <f>VLOOKUP($D$7,VLOOKUP!$A$113:$S$141,9)*30</f>
        <v>3933.6952475493244</v>
      </c>
      <c r="E70" s="786">
        <f>+'EXHIBIT C'!D21</f>
        <v>4619.6526320122002</v>
      </c>
      <c r="F70" s="783">
        <f t="shared" si="2"/>
        <v>0.17437990014356708</v>
      </c>
      <c r="G70" s="784" t="str">
        <f t="shared" si="3"/>
        <v>YES</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774" t="s">
        <v>85</v>
      </c>
      <c r="D71" s="785">
        <f>VLOOKUP($D$7,VLOOKUP!$A$113:$S$141,18)*30</f>
        <v>83.937823834196891</v>
      </c>
      <c r="E71" s="786">
        <f>+'EXHIBIT C'!D22</f>
        <v>104.4602079487</v>
      </c>
      <c r="F71" s="783">
        <f t="shared" si="2"/>
        <v>0.24449507000611725</v>
      </c>
      <c r="G71" s="784" t="str">
        <f t="shared" si="3"/>
        <v>YES</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774" t="s">
        <v>140</v>
      </c>
      <c r="D72" s="785">
        <f>VLOOKUP($D$7,VLOOKUP!$A$113:$S$141,12)*30</f>
        <v>908.86828756340742</v>
      </c>
      <c r="E72" s="786">
        <f>+'EXHIBIT C'!D23</f>
        <v>1294.8676791373</v>
      </c>
      <c r="F72" s="783">
        <f t="shared" si="2"/>
        <v>0.42470333364664037</v>
      </c>
      <c r="G72" s="784" t="str">
        <f t="shared" si="3"/>
        <v>YES</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777" t="s">
        <v>141</v>
      </c>
      <c r="D73" s="787">
        <f>VLOOKUP($D$7,VLOOKUP!$A$113:$S$141,15)*30</f>
        <v>0</v>
      </c>
      <c r="E73" s="788">
        <f>+'EXHIBIT C'!D24</f>
        <v>0</v>
      </c>
      <c r="F73" s="789" t="str">
        <f t="shared" si="2"/>
        <v>0</v>
      </c>
      <c r="G73" s="790"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12253.409711960481</v>
      </c>
      <c r="E74" s="161">
        <f>SUM(E68:E73)</f>
        <v>19018.904808584801</v>
      </c>
      <c r="F74" s="162">
        <f t="shared" si="2"/>
        <v>0.5521316315752145</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065" t="s">
        <v>148</v>
      </c>
      <c r="D75" s="1066"/>
      <c r="E75" s="1066"/>
      <c r="F75" s="1066"/>
      <c r="G75" s="1067"/>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963" t="s">
        <v>143</v>
      </c>
      <c r="D76" s="964"/>
      <c r="E76" s="964"/>
      <c r="F76" s="964"/>
      <c r="G76" s="965"/>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311" t="s">
        <v>792</v>
      </c>
      <c r="D77" s="1312"/>
      <c r="E77" s="1312"/>
      <c r="F77" s="1312"/>
      <c r="G77" s="1313"/>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314"/>
      <c r="D78" s="1315"/>
      <c r="E78" s="1315"/>
      <c r="F78" s="1315"/>
      <c r="G78" s="1316"/>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314"/>
      <c r="D79" s="1315"/>
      <c r="E79" s="1315"/>
      <c r="F79" s="1315"/>
      <c r="G79" s="1316"/>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314"/>
      <c r="D80" s="1315"/>
      <c r="E80" s="1315"/>
      <c r="F80" s="1315"/>
      <c r="G80" s="1316"/>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314"/>
      <c r="D81" s="1315"/>
      <c r="E81" s="1315"/>
      <c r="F81" s="1315"/>
      <c r="G81" s="1316"/>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314"/>
      <c r="D82" s="1315"/>
      <c r="E82" s="1315"/>
      <c r="F82" s="1315"/>
      <c r="G82" s="1316"/>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314"/>
      <c r="D83" s="1315"/>
      <c r="E83" s="1315"/>
      <c r="F83" s="1315"/>
      <c r="G83" s="1316"/>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314"/>
      <c r="D84" s="1315"/>
      <c r="E84" s="1315"/>
      <c r="F84" s="1315"/>
      <c r="G84" s="1316"/>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314"/>
      <c r="D85" s="1315"/>
      <c r="E85" s="1315"/>
      <c r="F85" s="1315"/>
      <c r="G85" s="1316"/>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317"/>
      <c r="D86" s="1318"/>
      <c r="E86" s="1318"/>
      <c r="F86" s="1318"/>
      <c r="G86" s="1319"/>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149</v>
      </c>
      <c r="B89" s="120"/>
      <c r="C89" s="164" t="s">
        <v>150</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151</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791" t="str">
        <f>IF(+'EXHIBIT A'!E19='EXHIBIT C'!B69,"Equal","Not Equal")</f>
        <v>Equal</v>
      </c>
      <c r="D92" s="105" t="s">
        <v>152</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792" t="str">
        <f>IF('EXHIBIT C'!B69=SUM('EXHIBIT D'!G132+'EXHIBIT D'!G133+'EXHIBIT D'!G134+'EXHIBIT D'!G135),"Equal","Not Equal")</f>
        <v>Equal</v>
      </c>
      <c r="D93" s="105" t="s">
        <v>153</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154</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791" t="str">
        <f>IF((+'EXHIBIT A'!E26)='EXHIBIT C'!B60,"Equal","Not Equal")</f>
        <v>Equal</v>
      </c>
      <c r="D95" s="105" t="s">
        <v>155</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792" t="str">
        <f>IF('EXHIBIT C'!B60=SUM('EXHIBIT D'!G230+'EXHIBIT D'!G231+'EXHIBIT D'!G232+'EXHIBIT D'!G233+'EXHIBIT D'!G234),"Equal","Not Equal")</f>
        <v>Equal</v>
      </c>
      <c r="D96" s="105" t="s">
        <v>156</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157</v>
      </c>
      <c r="B99" s="120"/>
      <c r="C99" s="1068" t="s">
        <v>158</v>
      </c>
      <c r="D99" s="1068"/>
      <c r="E99" s="1068"/>
      <c r="F99" s="1068"/>
      <c r="G99" s="1068"/>
      <c r="H99" s="958"/>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159</v>
      </c>
      <c r="D101" s="171" t="s">
        <v>160</v>
      </c>
      <c r="E101" s="170" t="s">
        <v>161</v>
      </c>
      <c r="F101" s="170" t="s">
        <v>128</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793" t="s">
        <v>162</v>
      </c>
      <c r="D102" s="794">
        <f>VLOOKUP($D$7,VLOOKUP!$A$7:$E$35,2)</f>
        <v>66032070</v>
      </c>
      <c r="E102" s="795">
        <f>+'EXHIBIT D'!G75</f>
        <v>66032070</v>
      </c>
      <c r="F102" s="795">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796" t="s">
        <v>163</v>
      </c>
      <c r="D103" s="794">
        <f>E103</f>
        <v>1112491</v>
      </c>
      <c r="E103" s="795">
        <f>'EXHIBIT D'!G77</f>
        <v>1112491</v>
      </c>
      <c r="F103" s="795">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796" t="s">
        <v>164</v>
      </c>
      <c r="D104" s="794">
        <f>VLOOKUP($D$7,VLOOKUP!$A$7:$E$35,3)</f>
        <v>12104813</v>
      </c>
      <c r="E104" s="795">
        <f>'EXHIBIT D'!G81</f>
        <v>12104813</v>
      </c>
      <c r="F104" s="795">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c r="D105" s="173"/>
      <c r="E105" s="174"/>
      <c r="F105" s="175"/>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6" t="s">
        <v>165</v>
      </c>
      <c r="D106" s="177">
        <f>SUM(D102:D104)</f>
        <v>79249374</v>
      </c>
      <c r="E106" s="177">
        <f t="shared" ref="E106:F106" si="4">SUM(E102:E104)</f>
        <v>79249374</v>
      </c>
      <c r="F106" s="177">
        <f t="shared" si="4"/>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8"/>
      <c r="D107" s="178"/>
      <c r="E107" s="178"/>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8"/>
      <c r="D108" s="178"/>
      <c r="E108" s="178"/>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166</v>
      </c>
      <c r="B109" s="120"/>
      <c r="C109" s="120" t="s">
        <v>167</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797" t="str">
        <f>IF(+'EXHIBIT E'!B21=+'EXHIBIT D'!G195,"Equal","Not Equal")</f>
        <v>Equal</v>
      </c>
      <c r="D111" s="105" t="s">
        <v>168</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798" t="str">
        <f>IF(+'EXHIBIT E'!C21=+'EXHIBIT D'!G239,"Equal","Not Equal")</f>
        <v>Equal</v>
      </c>
      <c r="D112" s="105" t="s">
        <v>169</v>
      </c>
      <c r="E112" s="179"/>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798" t="str">
        <f>IF(+'EXHIBIT E'!D21=+'EXHIBIT D'!G255,"Equal","Not Equal")</f>
        <v>Equal</v>
      </c>
      <c r="D113" s="105" t="s">
        <v>170</v>
      </c>
      <c r="E113" s="179"/>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799" t="str">
        <f>IF(+'EXHIBIT E'!E21=+'EXHIBIT D'!G257,"Equal","Not Equal")</f>
        <v>Equal</v>
      </c>
      <c r="D114" s="180" t="s">
        <v>50</v>
      </c>
      <c r="E114" s="179"/>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1" t="s">
        <v>171</v>
      </c>
      <c r="B117" s="182"/>
      <c r="C117" s="1069" t="s">
        <v>744</v>
      </c>
      <c r="D117" s="1069"/>
      <c r="E117" s="1069"/>
      <c r="F117" s="1069"/>
      <c r="G117" s="970"/>
      <c r="H117" s="970"/>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1"/>
      <c r="B118" s="182"/>
      <c r="C118" s="970"/>
      <c r="D118" s="970"/>
      <c r="E118" s="970"/>
      <c r="F118" s="970"/>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00">
        <f>+'EXHIBIT A'!E40</f>
        <v>28135321</v>
      </c>
      <c r="D119" s="951" t="s">
        <v>742</v>
      </c>
      <c r="E119" s="951"/>
      <c r="F119" s="951"/>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3"/>
      <c r="B120" s="183"/>
      <c r="C120" s="800">
        <f>'EXHIBIT D'!G275-'EXHIBIT D'!G261-'EXHIBIT D'!G273</f>
        <v>28135321</v>
      </c>
      <c r="D120" s="954" t="s">
        <v>743</v>
      </c>
      <c r="E120" s="954"/>
      <c r="F120" s="954"/>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4"/>
      <c r="B121" s="184"/>
      <c r="C121" s="801">
        <f>C119-C120</f>
        <v>0</v>
      </c>
      <c r="D121" s="1070" t="s">
        <v>172</v>
      </c>
      <c r="E121" s="1070"/>
      <c r="F121" s="1070"/>
      <c r="G121" s="1070"/>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5"/>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5"/>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6" t="s">
        <v>173</v>
      </c>
      <c r="B124" s="116"/>
      <c r="C124" s="1063" t="s">
        <v>174</v>
      </c>
      <c r="D124" s="1063"/>
      <c r="E124" s="1063"/>
      <c r="F124" s="1063"/>
      <c r="G124" s="1063"/>
      <c r="H124" s="953"/>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4"/>
      <c r="B125" s="184"/>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4"/>
      <c r="B126" s="184"/>
      <c r="C126" s="187">
        <f>'EXHIBIT A'!E14</f>
        <v>109740725</v>
      </c>
      <c r="D126" s="37" t="s">
        <v>740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4"/>
      <c r="B127" s="184"/>
      <c r="C127" s="802">
        <f>'EXHIBIT A'!E36</f>
        <v>110511725</v>
      </c>
      <c r="D127" s="37" t="s">
        <v>741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4"/>
      <c r="B128" s="184"/>
      <c r="C128" s="803">
        <f>C126-C127</f>
        <v>-771000</v>
      </c>
      <c r="D128" s="955" t="s">
        <v>175</v>
      </c>
      <c r="E128" s="955"/>
      <c r="F128" s="955"/>
      <c r="G128" s="955"/>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4"/>
      <c r="B129" s="184"/>
      <c r="C129" s="187"/>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4"/>
      <c r="B130" s="184"/>
      <c r="C130" s="804">
        <f>'EXHIBIT D'!G187</f>
        <v>771000</v>
      </c>
      <c r="D130" s="180" t="s">
        <v>176</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8">
        <f>C128+C130</f>
        <v>0</v>
      </c>
      <c r="D132" s="1071" t="s">
        <v>177</v>
      </c>
      <c r="E132" s="1071"/>
      <c r="F132" s="1071"/>
      <c r="G132" s="107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9"/>
      <c r="D133" s="19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1" t="s">
        <v>178</v>
      </c>
      <c r="B135" s="666"/>
      <c r="C135" s="1072" t="s">
        <v>179</v>
      </c>
      <c r="D135" s="1072"/>
      <c r="E135" s="1072"/>
      <c r="F135" s="1072"/>
      <c r="G135" s="1072"/>
      <c r="H135" s="962"/>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2">
        <f>IF('EXHIBIT G'!D126=0,"No Credit Hours or Not Applicable",('EXHIBIT G'!D126/'EXHIBIT C'!F10))</f>
        <v>91.789999999999949</v>
      </c>
      <c r="D137" s="20" t="s">
        <v>91</v>
      </c>
      <c r="U137" s="111"/>
      <c r="V137" s="111"/>
      <c r="W137" s="111"/>
      <c r="X137" s="111"/>
      <c r="Y137" s="111"/>
      <c r="Z137" s="111"/>
      <c r="AA137" s="111"/>
      <c r="AB137" s="111"/>
      <c r="AC137" s="111"/>
      <c r="AD137" s="111"/>
      <c r="AE137" s="111"/>
      <c r="AF137" s="111"/>
      <c r="AG137" s="111"/>
    </row>
    <row r="138" spans="1:53" ht="20.100000000000001" customHeight="1">
      <c r="A138" s="20"/>
      <c r="C138" s="193"/>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4">
        <f>IF('EXHIBIT G'!D127=0,"No Credit Hours or Not Applicable",('EXHIBIT G'!D127/'EXHIBIT C'!D19))</f>
        <v>275.52999999999594</v>
      </c>
      <c r="D139" s="20" t="s">
        <v>180</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5"/>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981"/>
      <c r="D141" s="982"/>
      <c r="E141" s="982"/>
    </row>
    <row r="142" spans="1:53" s="20" customFormat="1" ht="20.100000000000001" customHeight="1">
      <c r="A142" s="666" t="s">
        <v>181</v>
      </c>
      <c r="B142" s="666"/>
      <c r="C142" s="666" t="s">
        <v>182</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6" t="str">
        <f>IF(+'EXHIBIT G'!D126='EXHIBIT C'!H10,"Equal","Not Equal")</f>
        <v>Equal</v>
      </c>
      <c r="D144" s="1073" t="s">
        <v>183</v>
      </c>
      <c r="E144" s="1073"/>
      <c r="F144" s="1073"/>
      <c r="G144" s="1073"/>
      <c r="U144" s="111"/>
      <c r="V144" s="111"/>
      <c r="W144" s="111"/>
      <c r="X144" s="111"/>
      <c r="Y144" s="111"/>
      <c r="Z144" s="111"/>
      <c r="AA144" s="111"/>
      <c r="AB144" s="111"/>
      <c r="AC144" s="111"/>
      <c r="AD144" s="111"/>
      <c r="AE144" s="111"/>
      <c r="AF144" s="111"/>
      <c r="AG144" s="111"/>
    </row>
    <row r="145" spans="1:33" ht="20.100000000000001" customHeight="1">
      <c r="A145" s="20"/>
      <c r="C145" s="193"/>
      <c r="D145" s="197"/>
      <c r="E145" s="197"/>
      <c r="F145" s="197"/>
      <c r="G145" s="197"/>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6" t="str">
        <f>IF(+'EXHIBIT G'!D127='EXHIBIT C'!F19,"Equal","Not Equal")</f>
        <v>Equal</v>
      </c>
      <c r="D147" s="1073" t="s">
        <v>184</v>
      </c>
      <c r="E147" s="1073"/>
      <c r="F147" s="1073"/>
      <c r="G147" s="1073"/>
      <c r="U147" s="111"/>
      <c r="V147" s="111"/>
      <c r="W147" s="111"/>
      <c r="X147" s="111"/>
      <c r="Y147" s="111"/>
      <c r="Z147" s="111"/>
      <c r="AA147" s="111"/>
      <c r="AB147" s="111"/>
      <c r="AC147" s="111"/>
      <c r="AD147" s="111"/>
      <c r="AE147" s="111"/>
      <c r="AF147" s="111"/>
      <c r="AG147" s="111"/>
    </row>
    <row r="148" spans="1:33" ht="20.100000000000001" customHeight="1">
      <c r="A148" s="20"/>
      <c r="C148" s="193"/>
      <c r="D148" s="197"/>
      <c r="E148" s="197"/>
      <c r="F148" s="197"/>
      <c r="G148" s="197"/>
      <c r="U148" s="111"/>
      <c r="V148" s="111"/>
      <c r="W148" s="111"/>
      <c r="X148" s="111"/>
      <c r="Y148" s="111"/>
      <c r="Z148" s="111"/>
      <c r="AA148" s="111"/>
      <c r="AB148" s="111"/>
      <c r="AC148" s="111"/>
      <c r="AD148" s="111"/>
      <c r="AE148" s="111"/>
      <c r="AF148" s="111"/>
      <c r="AG148" s="111"/>
    </row>
    <row r="149" spans="1:33" ht="20.100000000000001" customHeight="1">
      <c r="A149" s="20"/>
      <c r="C149" s="193"/>
      <c r="D149" s="980"/>
      <c r="E149" s="980"/>
      <c r="F149" s="980"/>
      <c r="G149" s="980"/>
      <c r="U149" s="111"/>
      <c r="V149" s="111"/>
      <c r="W149" s="111"/>
      <c r="X149" s="111"/>
      <c r="Y149" s="111"/>
      <c r="Z149" s="111"/>
      <c r="AA149" s="111"/>
      <c r="AB149" s="111"/>
      <c r="AC149" s="111"/>
      <c r="AD149" s="111"/>
      <c r="AE149" s="111"/>
      <c r="AF149" s="111"/>
      <c r="AG149" s="111"/>
    </row>
    <row r="150" spans="1:33" ht="20.100000000000001" customHeight="1">
      <c r="A150" s="20"/>
      <c r="C150" s="198"/>
      <c r="D150" s="980"/>
      <c r="E150" s="980"/>
      <c r="F150" s="980"/>
      <c r="G150" s="980"/>
      <c r="U150" s="111"/>
      <c r="V150" s="111"/>
      <c r="W150" s="111"/>
      <c r="X150" s="111"/>
      <c r="Y150" s="111"/>
      <c r="Z150" s="111"/>
      <c r="AA150" s="111"/>
      <c r="AB150" s="111"/>
      <c r="AC150" s="111"/>
      <c r="AD150" s="111"/>
      <c r="AE150" s="111"/>
      <c r="AF150" s="111"/>
      <c r="AG150" s="111"/>
    </row>
    <row r="151" spans="1:33" ht="62.1" customHeight="1">
      <c r="A151" s="191" t="s">
        <v>185</v>
      </c>
      <c r="B151" s="666"/>
      <c r="C151" s="1072" t="s">
        <v>186</v>
      </c>
      <c r="D151" s="1072"/>
      <c r="E151" s="1072"/>
      <c r="F151" s="1072"/>
      <c r="G151" s="1072"/>
      <c r="H151" s="962"/>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6" t="str">
        <f>IF(+'EXHIBIT G'!F121='EXHIBIT G'!F137,"Equal","Not Equal")</f>
        <v>Equal</v>
      </c>
      <c r="D153" s="952" t="s">
        <v>187</v>
      </c>
      <c r="E153" s="952"/>
      <c r="F153" s="952"/>
      <c r="U153" s="111"/>
      <c r="V153" s="111"/>
      <c r="W153" s="111"/>
      <c r="X153" s="111"/>
      <c r="Y153" s="111"/>
      <c r="Z153" s="111"/>
      <c r="AA153" s="111"/>
      <c r="AB153" s="111"/>
      <c r="AC153" s="111"/>
      <c r="AD153" s="111"/>
      <c r="AE153" s="111"/>
      <c r="AF153" s="111"/>
      <c r="AG153" s="111"/>
    </row>
    <row r="154" spans="1:33" ht="20.100000000000001" customHeight="1" thickBot="1">
      <c r="A154" s="20"/>
      <c r="C154" s="198"/>
      <c r="D154" s="20"/>
      <c r="H154" s="149"/>
      <c r="U154" s="111"/>
      <c r="V154" s="111"/>
      <c r="W154" s="111"/>
      <c r="X154" s="111"/>
      <c r="Y154" s="111"/>
      <c r="Z154" s="111"/>
      <c r="AA154" s="111"/>
      <c r="AB154" s="111"/>
      <c r="AC154" s="111"/>
      <c r="AD154" s="111"/>
      <c r="AE154" s="111"/>
      <c r="AF154" s="111"/>
      <c r="AG154" s="111"/>
    </row>
    <row r="155" spans="1:33" ht="24.6" customHeight="1" thickBot="1">
      <c r="A155" s="20"/>
      <c r="C155" s="966" t="s">
        <v>188</v>
      </c>
      <c r="D155" s="967"/>
      <c r="E155" s="967"/>
      <c r="F155" s="967"/>
      <c r="G155" s="968"/>
      <c r="H155" s="38"/>
      <c r="U155" s="111"/>
      <c r="V155" s="111"/>
      <c r="W155" s="111"/>
      <c r="X155" s="111"/>
      <c r="Y155" s="111"/>
      <c r="Z155" s="111"/>
      <c r="AA155" s="111"/>
      <c r="AB155" s="111"/>
      <c r="AC155" s="111"/>
      <c r="AD155" s="111"/>
      <c r="AE155" s="111"/>
      <c r="AF155" s="111"/>
      <c r="AG155" s="111"/>
    </row>
    <row r="156" spans="1:33" ht="20.100000000000001" customHeight="1">
      <c r="A156" s="20"/>
      <c r="C156" s="971"/>
      <c r="D156" s="972"/>
      <c r="E156" s="972"/>
      <c r="F156" s="972"/>
      <c r="G156" s="973"/>
      <c r="H156" s="199"/>
      <c r="U156" s="111"/>
      <c r="V156" s="111"/>
      <c r="W156" s="111"/>
      <c r="X156" s="111"/>
      <c r="Y156" s="111"/>
      <c r="Z156" s="111"/>
      <c r="AA156" s="111"/>
      <c r="AB156" s="111"/>
      <c r="AC156" s="111"/>
      <c r="AD156" s="111"/>
      <c r="AE156" s="111"/>
      <c r="AF156" s="111"/>
      <c r="AG156" s="111"/>
    </row>
    <row r="157" spans="1:33" ht="20.100000000000001" customHeight="1">
      <c r="A157" s="20"/>
      <c r="C157" s="974"/>
      <c r="D157" s="975"/>
      <c r="E157" s="975"/>
      <c r="F157" s="975"/>
      <c r="G157" s="976"/>
      <c r="H157" s="199"/>
      <c r="U157" s="111"/>
      <c r="V157" s="111"/>
      <c r="W157" s="111"/>
      <c r="X157" s="111"/>
      <c r="Y157" s="111"/>
      <c r="Z157" s="111"/>
      <c r="AA157" s="111"/>
      <c r="AB157" s="111"/>
      <c r="AC157" s="111"/>
      <c r="AD157" s="111"/>
      <c r="AE157" s="111"/>
      <c r="AF157" s="111"/>
      <c r="AG157" s="111"/>
    </row>
    <row r="158" spans="1:33" ht="20.100000000000001" customHeight="1">
      <c r="A158" s="20"/>
      <c r="C158" s="974"/>
      <c r="D158" s="975"/>
      <c r="E158" s="975"/>
      <c r="F158" s="975"/>
      <c r="G158" s="976"/>
      <c r="H158" s="199"/>
      <c r="U158" s="111"/>
      <c r="V158" s="111"/>
      <c r="W158" s="111"/>
      <c r="X158" s="111"/>
      <c r="Y158" s="111"/>
      <c r="Z158" s="111"/>
      <c r="AA158" s="111"/>
      <c r="AB158" s="111"/>
      <c r="AC158" s="111"/>
      <c r="AD158" s="111"/>
      <c r="AE158" s="111"/>
      <c r="AF158" s="111"/>
      <c r="AG158" s="111"/>
    </row>
    <row r="159" spans="1:33" ht="20.100000000000001" customHeight="1">
      <c r="A159" s="20"/>
      <c r="C159" s="974"/>
      <c r="D159" s="975"/>
      <c r="E159" s="975"/>
      <c r="F159" s="975"/>
      <c r="G159" s="976"/>
      <c r="H159" s="199"/>
      <c r="U159" s="111"/>
      <c r="V159" s="111"/>
      <c r="W159" s="111"/>
      <c r="X159" s="111"/>
      <c r="Y159" s="111"/>
      <c r="Z159" s="111"/>
      <c r="AA159" s="111"/>
      <c r="AB159" s="111"/>
      <c r="AC159" s="111"/>
      <c r="AD159" s="111"/>
      <c r="AE159" s="111"/>
      <c r="AF159" s="111"/>
      <c r="AG159" s="111"/>
    </row>
    <row r="160" spans="1:33" ht="20.100000000000001" customHeight="1">
      <c r="A160" s="20"/>
      <c r="C160" s="974"/>
      <c r="D160" s="975"/>
      <c r="E160" s="975"/>
      <c r="F160" s="975"/>
      <c r="G160" s="976"/>
      <c r="H160" s="199"/>
      <c r="U160" s="111"/>
      <c r="V160" s="111"/>
      <c r="W160" s="111"/>
      <c r="X160" s="111"/>
      <c r="Y160" s="111"/>
      <c r="Z160" s="111"/>
      <c r="AA160" s="111"/>
      <c r="AB160" s="111"/>
      <c r="AC160" s="111"/>
      <c r="AD160" s="111"/>
      <c r="AE160" s="111"/>
      <c r="AF160" s="111"/>
      <c r="AG160" s="111"/>
    </row>
    <row r="161" spans="1:33" ht="20.100000000000001" customHeight="1">
      <c r="A161" s="20"/>
      <c r="C161" s="974"/>
      <c r="D161" s="975"/>
      <c r="E161" s="975"/>
      <c r="F161" s="975"/>
      <c r="G161" s="976"/>
      <c r="H161" s="199"/>
      <c r="U161" s="111"/>
      <c r="V161" s="111"/>
      <c r="W161" s="111"/>
      <c r="X161" s="111"/>
      <c r="Y161" s="111"/>
      <c r="Z161" s="111"/>
      <c r="AA161" s="111"/>
      <c r="AB161" s="111"/>
      <c r="AC161" s="111"/>
      <c r="AD161" s="111"/>
      <c r="AE161" s="111"/>
      <c r="AF161" s="111"/>
      <c r="AG161" s="111"/>
    </row>
    <row r="162" spans="1:33" ht="20.100000000000001" customHeight="1">
      <c r="A162" s="20"/>
      <c r="C162" s="974"/>
      <c r="D162" s="975"/>
      <c r="E162" s="975"/>
      <c r="F162" s="975"/>
      <c r="G162" s="976"/>
      <c r="H162" s="199"/>
      <c r="U162" s="111"/>
      <c r="V162" s="111"/>
      <c r="W162" s="111"/>
      <c r="X162" s="111"/>
      <c r="Y162" s="111"/>
      <c r="Z162" s="111"/>
      <c r="AA162" s="111"/>
      <c r="AB162" s="111"/>
      <c r="AC162" s="111"/>
      <c r="AD162" s="111"/>
      <c r="AE162" s="111"/>
      <c r="AF162" s="111"/>
      <c r="AG162" s="111"/>
    </row>
    <row r="163" spans="1:33" ht="20.100000000000001" customHeight="1">
      <c r="A163" s="20"/>
      <c r="C163" s="974"/>
      <c r="D163" s="975"/>
      <c r="E163" s="975"/>
      <c r="F163" s="975"/>
      <c r="G163" s="976"/>
      <c r="H163" s="199"/>
      <c r="U163" s="111"/>
      <c r="V163" s="111"/>
      <c r="W163" s="111"/>
      <c r="X163" s="111"/>
      <c r="Y163" s="111"/>
      <c r="Z163" s="111"/>
      <c r="AA163" s="111"/>
      <c r="AB163" s="111"/>
      <c r="AC163" s="111"/>
      <c r="AD163" s="111"/>
      <c r="AE163" s="111"/>
      <c r="AF163" s="111"/>
      <c r="AG163" s="111"/>
    </row>
    <row r="164" spans="1:33" ht="20.100000000000001" customHeight="1">
      <c r="A164" s="20"/>
      <c r="C164" s="974"/>
      <c r="D164" s="975"/>
      <c r="E164" s="975"/>
      <c r="F164" s="975"/>
      <c r="G164" s="976"/>
      <c r="H164" s="199"/>
      <c r="U164" s="111"/>
      <c r="V164" s="111"/>
      <c r="W164" s="111"/>
      <c r="X164" s="111"/>
      <c r="Y164" s="111"/>
      <c r="Z164" s="111"/>
      <c r="AA164" s="111"/>
      <c r="AB164" s="111"/>
      <c r="AC164" s="111"/>
      <c r="AD164" s="111"/>
      <c r="AE164" s="111"/>
      <c r="AF164" s="111"/>
      <c r="AG164" s="111"/>
    </row>
    <row r="165" spans="1:33" ht="20.100000000000001" customHeight="1" thickBot="1">
      <c r="A165" s="20"/>
      <c r="C165" s="977"/>
      <c r="D165" s="978"/>
      <c r="E165" s="978"/>
      <c r="F165" s="978"/>
      <c r="G165" s="979"/>
      <c r="H165" s="199"/>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mergeCells count="2">
    <mergeCell ref="C53:G62"/>
    <mergeCell ref="C77:G86"/>
  </mergeCell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F7 E7"/>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tabSelected="1" zoomScale="60" zoomScaleNormal="60" zoomScaleSheetLayoutView="90" zoomScalePageLayoutView="70" workbookViewId="0">
      <selection activeCell="R45" sqref="R45"/>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074" t="s">
        <v>189</v>
      </c>
      <c r="C1" s="1074"/>
      <c r="D1" s="1074"/>
      <c r="E1" s="1074"/>
      <c r="F1" s="369"/>
      <c r="G1" s="369"/>
    </row>
    <row r="2" spans="2:7" ht="26.25">
      <c r="B2" s="1075" t="s">
        <v>11</v>
      </c>
      <c r="C2" s="1075"/>
      <c r="D2" s="1075"/>
      <c r="E2" s="1075"/>
      <c r="F2" s="985"/>
      <c r="G2" s="985"/>
    </row>
    <row r="3" spans="2:7" ht="26.25">
      <c r="B3" s="1075" t="s">
        <v>190</v>
      </c>
      <c r="C3" s="1075"/>
      <c r="D3" s="1075"/>
      <c r="E3" s="1075"/>
      <c r="F3" s="985"/>
      <c r="G3" s="985"/>
    </row>
    <row r="4" spans="2:7" ht="26.25">
      <c r="B4" s="1075" t="s">
        <v>191</v>
      </c>
      <c r="C4" s="1075"/>
      <c r="D4" s="1075"/>
      <c r="E4" s="1075"/>
      <c r="F4" s="985"/>
      <c r="G4" s="985"/>
    </row>
    <row r="5" spans="2:7" ht="26.25">
      <c r="B5" s="1074" t="s">
        <v>759</v>
      </c>
      <c r="C5" s="1075"/>
      <c r="D5" s="1074"/>
      <c r="E5" s="1074"/>
      <c r="F5" s="986"/>
      <c r="G5" s="986"/>
    </row>
    <row r="6" spans="2:7" ht="25.35" customHeight="1">
      <c r="B6" s="986"/>
      <c r="C6" s="986"/>
      <c r="D6" s="986"/>
      <c r="E6" s="986"/>
      <c r="F6" s="986"/>
      <c r="G6" s="986"/>
    </row>
    <row r="7" spans="2:7" ht="25.35" customHeight="1">
      <c r="B7" s="369"/>
      <c r="C7" s="986"/>
      <c r="D7" s="433"/>
      <c r="E7" s="433"/>
      <c r="F7" s="433"/>
      <c r="G7" s="433"/>
    </row>
    <row r="8" spans="2:7" ht="25.35" customHeight="1">
      <c r="B8" s="435" t="s">
        <v>192</v>
      </c>
      <c r="C8" s="984" t="str">
        <f>'CHECK SHEET'!D7</f>
        <v>St. Petersburg College</v>
      </c>
      <c r="D8" s="984"/>
      <c r="E8" s="984"/>
      <c r="F8" s="432"/>
      <c r="G8" s="432"/>
    </row>
    <row r="9" spans="2:7" ht="25.35" customHeight="1">
      <c r="D9" s="149"/>
      <c r="E9" s="149"/>
      <c r="F9" s="149"/>
      <c r="G9" s="149"/>
    </row>
    <row r="10" spans="2:7" ht="41.45" customHeight="1">
      <c r="E10" s="711" t="s">
        <v>193</v>
      </c>
    </row>
    <row r="11" spans="2:7" ht="25.35" customHeight="1">
      <c r="B11" s="112" t="s">
        <v>760</v>
      </c>
      <c r="D11" s="112"/>
      <c r="E11" s="200"/>
    </row>
    <row r="12" spans="2:7" ht="25.35" customHeight="1">
      <c r="B12" s="112"/>
      <c r="C12" s="112"/>
      <c r="D12" s="112"/>
    </row>
    <row r="13" spans="2:7" ht="25.35" customHeight="1">
      <c r="B13" s="37" t="s">
        <v>768</v>
      </c>
      <c r="C13" s="112"/>
      <c r="D13" s="112"/>
      <c r="E13" s="578">
        <v>28126645</v>
      </c>
    </row>
    <row r="14" spans="2:7" ht="25.35" customHeight="1">
      <c r="B14" s="37" t="s">
        <v>194</v>
      </c>
      <c r="D14" s="112"/>
      <c r="E14" s="712">
        <v>109740725</v>
      </c>
    </row>
    <row r="15" spans="2:7" ht="25.35" customHeight="1">
      <c r="B15" s="112"/>
      <c r="C15" s="24"/>
      <c r="D15" s="112"/>
      <c r="E15" s="201"/>
    </row>
    <row r="16" spans="2:7" ht="25.35" customHeight="1">
      <c r="B16" s="24" t="s">
        <v>761</v>
      </c>
      <c r="C16" s="112"/>
      <c r="D16" s="35"/>
      <c r="E16" s="713">
        <f>+E14+E13</f>
        <v>137867370</v>
      </c>
    </row>
    <row r="17" spans="2:7" ht="25.35" customHeight="1">
      <c r="B17" s="112"/>
      <c r="C17" s="35"/>
      <c r="D17" s="112"/>
      <c r="E17" s="202"/>
    </row>
    <row r="18" spans="2:7" ht="25.35" customHeight="1">
      <c r="B18" s="37" t="s">
        <v>195</v>
      </c>
      <c r="C18" s="112"/>
      <c r="D18" s="112"/>
      <c r="E18" s="214">
        <f>+'EXHIBIT D'!G143-SUM(+'EXHIBIT D'!G132+'EXHIBIT D'!G133+'EXHIBIT D'!G134+'EXHIBIT D'!G135)</f>
        <v>144359359</v>
      </c>
      <c r="G18" s="203"/>
    </row>
    <row r="19" spans="2:7" ht="25.35" customHeight="1">
      <c r="B19" s="37" t="s">
        <v>196</v>
      </c>
      <c r="D19" s="112"/>
      <c r="E19" s="713">
        <f>+'EXHIBIT D'!G132+'EXHIBIT D'!G133+'EXHIBIT D'!G134+'EXHIBIT D'!G135</f>
        <v>1350000</v>
      </c>
    </row>
    <row r="20" spans="2:7" ht="25.35" customHeight="1">
      <c r="B20" s="112"/>
      <c r="D20" s="112"/>
      <c r="E20" s="209"/>
    </row>
    <row r="21" spans="2:7" ht="25.35" customHeight="1">
      <c r="B21" s="37" t="s">
        <v>197</v>
      </c>
      <c r="C21" s="112"/>
      <c r="D21" s="112"/>
      <c r="E21" s="714">
        <f>+E19+E18</f>
        <v>145709359</v>
      </c>
    </row>
    <row r="22" spans="2:7" ht="25.35" customHeight="1">
      <c r="B22" s="112"/>
      <c r="C22" s="112"/>
      <c r="D22" s="112"/>
      <c r="E22" s="209"/>
    </row>
    <row r="23" spans="2:7" ht="25.35" customHeight="1">
      <c r="B23" s="112" t="s">
        <v>198</v>
      </c>
      <c r="C23" s="112"/>
      <c r="D23" s="112"/>
      <c r="E23" s="714">
        <f>+E21+E16</f>
        <v>283576729</v>
      </c>
    </row>
    <row r="24" spans="2:7" ht="25.35" customHeight="1">
      <c r="B24" s="112"/>
      <c r="C24" s="112"/>
      <c r="D24" s="112"/>
      <c r="E24" s="209"/>
    </row>
    <row r="25" spans="2:7" ht="25.35" customHeight="1">
      <c r="B25" s="37" t="s">
        <v>199</v>
      </c>
      <c r="C25" s="112"/>
      <c r="D25" s="112"/>
      <c r="E25" s="215">
        <f>'EXHIBIT D'!G257-SUM(+'EXHIBIT D'!G230+'EXHIBIT D'!G231+'EXHIBIT D'!G232+'EXHIBIT D'!G233+'EXHIBIT D'!G234)</f>
        <v>145048546</v>
      </c>
    </row>
    <row r="26" spans="2:7" ht="25.35" customHeight="1">
      <c r="B26" s="37" t="s">
        <v>200</v>
      </c>
      <c r="D26" s="112"/>
      <c r="E26" s="713">
        <f>'EXHIBIT D'!G230+'EXHIBIT D'!G231+'EXHIBIT D'!G232+'EXHIBIT D'!G233+'EXHIBIT D'!G234</f>
        <v>660813</v>
      </c>
    </row>
    <row r="27" spans="2:7" ht="25.35" customHeight="1">
      <c r="B27" s="112"/>
      <c r="D27" s="112"/>
      <c r="E27" s="209"/>
    </row>
    <row r="28" spans="2:7" ht="25.35" customHeight="1">
      <c r="B28" s="112" t="s">
        <v>201</v>
      </c>
      <c r="C28" s="112"/>
      <c r="D28" s="112"/>
      <c r="E28" s="715">
        <f>+E26+E25</f>
        <v>145709359</v>
      </c>
    </row>
    <row r="29" spans="2:7" ht="25.35" customHeight="1">
      <c r="B29" s="112"/>
      <c r="C29" s="112"/>
      <c r="D29" s="112"/>
      <c r="E29" s="204"/>
    </row>
    <row r="30" spans="2:7" ht="25.35" customHeight="1">
      <c r="B30" s="112" t="s">
        <v>762</v>
      </c>
      <c r="C30" s="112"/>
      <c r="D30" s="112"/>
      <c r="E30" s="204"/>
    </row>
    <row r="31" spans="2:7" ht="25.35" customHeight="1">
      <c r="B31" s="112"/>
      <c r="C31" s="112"/>
      <c r="D31" s="112"/>
      <c r="E31" s="204"/>
    </row>
    <row r="32" spans="2:7" ht="25.35" customHeight="1">
      <c r="B32" s="37" t="s">
        <v>202</v>
      </c>
      <c r="C32" s="112"/>
      <c r="D32" s="205">
        <f>+E23-E28</f>
        <v>137867370</v>
      </c>
      <c r="E32" s="204"/>
    </row>
    <row r="33" spans="2:10" ht="25.35" customHeight="1">
      <c r="B33" s="24" t="s">
        <v>203</v>
      </c>
      <c r="C33" s="112"/>
      <c r="D33" s="716">
        <f>+'EXHIBIT D'!G187</f>
        <v>771000</v>
      </c>
      <c r="E33" s="204"/>
      <c r="J33" s="149"/>
    </row>
    <row r="34" spans="2:10" ht="25.35" customHeight="1">
      <c r="B34" s="112"/>
      <c r="D34" s="112"/>
      <c r="E34" s="204"/>
      <c r="J34" s="206"/>
    </row>
    <row r="35" spans="2:10" ht="25.35" customHeight="1">
      <c r="B35" s="37" t="s">
        <v>763</v>
      </c>
      <c r="C35" s="112"/>
      <c r="D35" s="112"/>
      <c r="E35" s="207">
        <f>+D32+D33</f>
        <v>138638370</v>
      </c>
      <c r="J35" s="149"/>
    </row>
    <row r="36" spans="2:10" ht="25.35" customHeight="1">
      <c r="B36" s="37" t="s">
        <v>764</v>
      </c>
      <c r="C36" s="112"/>
      <c r="D36" s="112"/>
      <c r="E36" s="714">
        <f>-'EXHIBIT D'!G273</f>
        <v>110511725</v>
      </c>
      <c r="J36" s="208"/>
    </row>
    <row r="37" spans="2:10" ht="25.35" customHeight="1">
      <c r="D37" s="112"/>
      <c r="E37" s="207"/>
      <c r="J37" s="149"/>
    </row>
    <row r="38" spans="2:10" ht="25.35" customHeight="1">
      <c r="B38" s="112" t="s">
        <v>765</v>
      </c>
      <c r="D38" s="112"/>
      <c r="E38" s="713">
        <f>+E35-E36</f>
        <v>28126645</v>
      </c>
      <c r="J38" s="149"/>
    </row>
    <row r="39" spans="2:10" ht="25.35" customHeight="1">
      <c r="B39" s="112"/>
      <c r="C39" s="112"/>
      <c r="D39" s="112"/>
      <c r="E39" s="209"/>
    </row>
    <row r="40" spans="2:10" ht="25.35" customHeight="1">
      <c r="B40" s="24" t="s">
        <v>766</v>
      </c>
      <c r="C40" s="112"/>
      <c r="D40" s="35"/>
      <c r="E40" s="715">
        <f>'EXHIBIT D'!G262+'EXHIBIT D'!G263+'EXHIBIT D'!G264+'EXHIBIT D'!G265+'EXHIBIT D'!G266+'EXHIBIT D'!G267+'EXHIBIT D'!G268+'EXHIBIT D'!G269</f>
        <v>28135321</v>
      </c>
    </row>
    <row r="41" spans="2:10" ht="25.35" customHeight="1">
      <c r="B41" s="24" t="s">
        <v>204</v>
      </c>
      <c r="C41" s="24"/>
      <c r="D41" s="35"/>
      <c r="E41" s="210"/>
    </row>
    <row r="42" spans="2:10" ht="25.35" customHeight="1">
      <c r="D42" s="112"/>
      <c r="E42" s="211"/>
    </row>
    <row r="43" spans="2:10" ht="25.35" customHeight="1">
      <c r="B43" s="112" t="s">
        <v>205</v>
      </c>
      <c r="D43" s="112"/>
      <c r="E43" s="211"/>
    </row>
    <row r="44" spans="2:10" ht="25.35" customHeight="1">
      <c r="B44" s="112" t="s">
        <v>767</v>
      </c>
      <c r="C44" s="112"/>
      <c r="D44" s="112"/>
      <c r="E44" s="717">
        <f>+E40/E23</f>
        <v>9.9215902162409109E-2</v>
      </c>
    </row>
    <row r="45" spans="2:10" ht="25.35" customHeight="1">
      <c r="B45" s="112"/>
      <c r="C45" s="112"/>
      <c r="D45" s="112"/>
      <c r="E45" s="211"/>
    </row>
    <row r="46" spans="2:10" ht="25.35" customHeight="1">
      <c r="B46" s="112" t="s">
        <v>206</v>
      </c>
      <c r="C46" s="112"/>
      <c r="D46" s="112"/>
      <c r="E46" s="211"/>
    </row>
    <row r="47" spans="2:10" ht="25.35" customHeight="1">
      <c r="B47" s="112"/>
      <c r="C47" s="112"/>
      <c r="D47" s="112"/>
      <c r="E47" s="211"/>
    </row>
    <row r="48" spans="2:10" ht="25.35" customHeight="1">
      <c r="B48" s="112"/>
      <c r="C48" s="112"/>
      <c r="D48" s="112"/>
      <c r="E48" s="211"/>
    </row>
    <row r="49" spans="2:5" ht="25.35" customHeight="1">
      <c r="B49" s="112"/>
      <c r="C49" s="112"/>
      <c r="D49" s="112"/>
      <c r="E49" s="211"/>
    </row>
    <row r="50" spans="2:5" ht="25.35" customHeight="1">
      <c r="B50" s="718"/>
      <c r="C50" s="718"/>
      <c r="D50" s="112"/>
      <c r="E50" s="719"/>
    </row>
    <row r="51" spans="2:5" ht="25.35" customHeight="1">
      <c r="B51" s="112" t="s">
        <v>207</v>
      </c>
      <c r="E51" s="212" t="s">
        <v>208</v>
      </c>
    </row>
    <row r="52" spans="2:5" ht="15.75" customHeight="1">
      <c r="C52" s="112"/>
      <c r="E52" s="213"/>
    </row>
    <row r="53" spans="2:5" ht="15.75" customHeight="1">
      <c r="E53" s="213"/>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hXzzLj/Dc8WQwHe5MqnGHcnroIvGqTkyJD4GB6bM39ucOW0auV92FFbG8JFZDQKP8eDva0Q0sEPFodSfd7xwGg==" saltValue="uLdmLwe2g1SfKZosGALw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topLeftCell="A31" zoomScale="80" zoomScaleNormal="80" zoomScalePageLayoutView="50" workbookViewId="0">
      <selection activeCell="L37" sqref="L37"/>
    </sheetView>
  </sheetViews>
  <sheetFormatPr defaultColWidth="9.140625" defaultRowHeight="12.75"/>
  <cols>
    <col min="1" max="1" width="98.28515625" style="219" customWidth="1"/>
    <col min="2" max="2" width="18" style="219" customWidth="1"/>
    <col min="3" max="3" width="16.42578125" style="219" customWidth="1"/>
    <col min="4" max="4" width="15.28515625" style="219" customWidth="1"/>
    <col min="5" max="5" width="22.42578125" style="219" customWidth="1"/>
    <col min="6" max="6" width="20.7109375" style="219" customWidth="1"/>
    <col min="7" max="7" width="18.7109375" style="219" customWidth="1"/>
    <col min="8" max="8" width="20.28515625" style="219" bestFit="1" customWidth="1"/>
    <col min="9" max="9" width="20.28515625" style="219" customWidth="1"/>
    <col min="10" max="10" width="2" style="219" customWidth="1"/>
    <col min="11" max="11" width="21" style="219" bestFit="1" customWidth="1"/>
    <col min="12" max="12" width="19.140625" style="219" customWidth="1"/>
    <col min="13" max="13" width="5.7109375" style="219" customWidth="1"/>
    <col min="14" max="16384" width="9.140625" style="219"/>
  </cols>
  <sheetData>
    <row r="1" spans="1:18" s="369" customFormat="1" ht="23.1" customHeight="1">
      <c r="I1" s="983" t="s">
        <v>209</v>
      </c>
      <c r="L1" s="983"/>
      <c r="M1" s="983"/>
      <c r="N1" s="983"/>
      <c r="O1" s="983"/>
      <c r="P1" s="983"/>
      <c r="Q1" s="983"/>
      <c r="R1" s="983"/>
    </row>
    <row r="2" spans="1:18" s="369" customFormat="1" ht="20.100000000000001" customHeight="1"/>
    <row r="3" spans="1:18" s="369" customFormat="1" ht="20.100000000000001" customHeight="1">
      <c r="A3" s="1075" t="s">
        <v>11</v>
      </c>
      <c r="B3" s="1075"/>
      <c r="C3" s="1075"/>
      <c r="D3" s="1075"/>
      <c r="E3" s="1075"/>
      <c r="F3" s="1075"/>
      <c r="G3" s="1075"/>
      <c r="H3" s="1075"/>
      <c r="I3" s="985"/>
      <c r="J3" s="368"/>
      <c r="K3" s="368"/>
    </row>
    <row r="4" spans="1:18" s="369" customFormat="1" ht="20.100000000000001" customHeight="1">
      <c r="A4" s="1075" t="s">
        <v>190</v>
      </c>
      <c r="B4" s="1075"/>
      <c r="C4" s="1075"/>
      <c r="D4" s="1075"/>
      <c r="E4" s="1075"/>
      <c r="F4" s="1075"/>
      <c r="G4" s="1075"/>
      <c r="H4" s="1075"/>
      <c r="I4" s="985"/>
    </row>
    <row r="5" spans="1:18" s="369" customFormat="1" ht="24" customHeight="1">
      <c r="A5" s="1075" t="s">
        <v>769</v>
      </c>
      <c r="B5" s="1075"/>
      <c r="C5" s="1075"/>
      <c r="D5" s="1075"/>
      <c r="E5" s="1075"/>
      <c r="F5" s="1075"/>
      <c r="G5" s="1075"/>
      <c r="H5" s="1075"/>
      <c r="I5" s="985"/>
    </row>
    <row r="6" spans="1:18" s="369" customFormat="1" ht="24" customHeight="1">
      <c r="A6" s="1075" t="s">
        <v>210</v>
      </c>
      <c r="B6" s="1075"/>
      <c r="C6" s="1075"/>
      <c r="D6" s="1075"/>
      <c r="E6" s="1075"/>
      <c r="F6" s="1075"/>
      <c r="G6" s="1075"/>
      <c r="H6" s="1075"/>
      <c r="I6" s="985"/>
    </row>
    <row r="7" spans="1:18" s="369" customFormat="1" ht="20.100000000000001" customHeight="1">
      <c r="A7" s="1074"/>
      <c r="B7" s="1074"/>
      <c r="C7" s="1074"/>
      <c r="D7" s="1074"/>
      <c r="E7" s="1074"/>
      <c r="F7" s="1074"/>
      <c r="G7" s="1074"/>
      <c r="H7" s="1074"/>
      <c r="I7" s="986"/>
    </row>
    <row r="8" spans="1:18" s="369" customFormat="1" ht="25.35" customHeight="1" thickBot="1">
      <c r="A8" s="1074"/>
      <c r="B8" s="1078"/>
      <c r="C8" s="1074" t="s">
        <v>192</v>
      </c>
      <c r="D8" s="1079" t="str">
        <f>'CHECK SHEET'!D7</f>
        <v>St. Petersburg College</v>
      </c>
      <c r="E8" s="1079"/>
      <c r="F8" s="1079"/>
      <c r="G8" s="1079"/>
      <c r="H8" s="1079"/>
    </row>
    <row r="9" spans="1:18" s="37" customFormat="1" ht="20.100000000000001" customHeight="1"/>
    <row r="10" spans="1:18" s="37" customFormat="1" ht="20.100000000000001" customHeight="1">
      <c r="B10" s="112"/>
      <c r="C10" s="112"/>
      <c r="D10" s="112"/>
      <c r="E10" s="1076"/>
      <c r="F10" s="1077"/>
      <c r="G10" s="1077"/>
    </row>
    <row r="11" spans="1:18" s="37" customFormat="1" ht="20.100000000000001" customHeight="1">
      <c r="B11" s="987" t="s">
        <v>211</v>
      </c>
      <c r="C11" s="987"/>
      <c r="D11" s="957"/>
      <c r="E11" s="957"/>
    </row>
    <row r="12" spans="1:18" s="37" customFormat="1" ht="20.100000000000001" customHeight="1" thickBot="1">
      <c r="B12" s="988" t="s">
        <v>212</v>
      </c>
      <c r="C12" s="988"/>
      <c r="D12" s="988"/>
      <c r="E12" s="988"/>
      <c r="J12" s="112"/>
    </row>
    <row r="13" spans="1:18" s="37" customFormat="1" ht="105.75" customHeight="1" thickBot="1">
      <c r="A13" s="436" t="s">
        <v>213</v>
      </c>
      <c r="B13" s="390" t="s">
        <v>214</v>
      </c>
      <c r="C13" s="992" t="s">
        <v>215</v>
      </c>
      <c r="D13" s="390" t="s">
        <v>216</v>
      </c>
      <c r="E13" s="390" t="s">
        <v>217</v>
      </c>
      <c r="F13" s="991" t="s">
        <v>218</v>
      </c>
      <c r="G13" s="390" t="s">
        <v>50</v>
      </c>
      <c r="H13" s="992" t="s">
        <v>219</v>
      </c>
      <c r="I13" s="24"/>
      <c r="J13" s="35"/>
      <c r="K13" s="24"/>
    </row>
    <row r="14" spans="1:18" s="37" customFormat="1" ht="20.100000000000001" customHeight="1">
      <c r="A14" s="437" t="s">
        <v>220</v>
      </c>
      <c r="B14" s="1136">
        <v>91.79</v>
      </c>
      <c r="C14" s="1136">
        <v>4.59</v>
      </c>
      <c r="D14" s="1136">
        <v>9.18</v>
      </c>
      <c r="E14" s="1136">
        <v>12.55</v>
      </c>
      <c r="F14" s="1136">
        <v>4.59</v>
      </c>
      <c r="G14" s="806">
        <f>SUM(B14:F14)</f>
        <v>122.7</v>
      </c>
      <c r="H14" s="475">
        <f>G14*30</f>
        <v>3681</v>
      </c>
      <c r="I14" s="24"/>
    </row>
    <row r="15" spans="1:18" s="37" customFormat="1" ht="20.100000000000001" customHeight="1">
      <c r="A15" s="112" t="s">
        <v>221</v>
      </c>
      <c r="B15" s="1137">
        <v>80.94</v>
      </c>
      <c r="C15" s="1137">
        <v>4.04</v>
      </c>
      <c r="D15" s="1137">
        <v>7.63</v>
      </c>
      <c r="E15" s="1137">
        <v>15.1</v>
      </c>
      <c r="F15" s="1137">
        <v>4.04</v>
      </c>
      <c r="G15" s="806">
        <f>SUM(B15:F15)</f>
        <v>111.75</v>
      </c>
      <c r="H15" s="438">
        <f>G15*30</f>
        <v>3352.5</v>
      </c>
      <c r="I15" s="24"/>
    </row>
    <row r="16" spans="1:18" s="37" customFormat="1" ht="20.100000000000001" customHeight="1" thickBot="1">
      <c r="A16" s="35" t="s">
        <v>85</v>
      </c>
      <c r="B16" s="1138">
        <v>68.599999999999994</v>
      </c>
      <c r="C16" s="1138">
        <v>0</v>
      </c>
      <c r="D16" s="1139"/>
      <c r="E16" s="1138">
        <v>3.43</v>
      </c>
      <c r="F16" s="1138">
        <v>3.43</v>
      </c>
      <c r="G16" s="439">
        <f>SUM(B16:F16)</f>
        <v>75.460000000000008</v>
      </c>
      <c r="H16" s="807">
        <f>G16*30</f>
        <v>2263.8000000000002</v>
      </c>
    </row>
    <row r="17" spans="1:11" s="37" customFormat="1" ht="20.100000000000001" customHeight="1" thickBot="1">
      <c r="A17" s="440"/>
      <c r="B17" s="468"/>
      <c r="C17" s="669"/>
      <c r="D17" s="669"/>
      <c r="E17" s="669"/>
      <c r="F17" s="669"/>
      <c r="G17" s="474"/>
      <c r="H17" s="441"/>
    </row>
    <row r="18" spans="1:11" s="37" customFormat="1" ht="65.099999999999994" customHeight="1" thickBot="1">
      <c r="A18" s="467" t="s">
        <v>213</v>
      </c>
      <c r="B18" s="452" t="s">
        <v>222</v>
      </c>
      <c r="C18" s="479"/>
      <c r="D18" s="479"/>
      <c r="E18" s="479"/>
      <c r="F18" s="479"/>
      <c r="G18" s="473" t="s">
        <v>50</v>
      </c>
      <c r="H18" s="992" t="s">
        <v>223</v>
      </c>
    </row>
    <row r="19" spans="1:11" s="37" customFormat="1" ht="20.100000000000001" customHeight="1">
      <c r="A19" s="112" t="s">
        <v>224</v>
      </c>
      <c r="B19" s="805">
        <v>0</v>
      </c>
      <c r="C19" s="476"/>
      <c r="D19" s="476"/>
      <c r="E19" s="476"/>
      <c r="F19" s="476"/>
      <c r="G19" s="806">
        <f>B19</f>
        <v>0</v>
      </c>
      <c r="H19" s="749">
        <f>G19*3</f>
        <v>0</v>
      </c>
    </row>
    <row r="20" spans="1:11" s="37" customFormat="1" ht="20.100000000000001" customHeight="1" thickBot="1">
      <c r="A20" s="112" t="s">
        <v>225</v>
      </c>
      <c r="B20" s="734">
        <v>0</v>
      </c>
      <c r="C20" s="477"/>
      <c r="D20" s="477"/>
      <c r="E20" s="477"/>
      <c r="F20" s="477"/>
      <c r="G20" s="442">
        <f>B20</f>
        <v>0</v>
      </c>
      <c r="H20" s="702">
        <f>G20*3</f>
        <v>0</v>
      </c>
    </row>
    <row r="21" spans="1:11" s="37" customFormat="1" ht="20.100000000000001" customHeight="1" thickBot="1">
      <c r="A21" s="443"/>
      <c r="B21" s="468"/>
      <c r="C21" s="440"/>
      <c r="D21" s="440"/>
      <c r="E21" s="440"/>
      <c r="F21" s="440"/>
      <c r="G21" s="474"/>
      <c r="H21" s="441"/>
    </row>
    <row r="22" spans="1:11" s="37" customFormat="1" ht="20.100000000000001" customHeight="1">
      <c r="A22" s="112" t="s">
        <v>226</v>
      </c>
      <c r="B22" s="558">
        <v>0</v>
      </c>
      <c r="C22" s="670"/>
      <c r="D22" s="670"/>
      <c r="E22" s="670"/>
      <c r="F22" s="670"/>
      <c r="G22" s="444">
        <f>B22</f>
        <v>0</v>
      </c>
      <c r="H22" s="472">
        <f>G22*2</f>
        <v>0</v>
      </c>
    </row>
    <row r="23" spans="1:11" s="37" customFormat="1" ht="20.100000000000001" customHeight="1" thickBot="1">
      <c r="A23" s="112" t="s">
        <v>227</v>
      </c>
      <c r="B23" s="808">
        <v>0</v>
      </c>
      <c r="C23" s="477"/>
      <c r="D23" s="477"/>
      <c r="E23" s="477"/>
      <c r="F23" s="477"/>
      <c r="G23" s="809">
        <f>B23</f>
        <v>0</v>
      </c>
      <c r="H23" s="807">
        <f>G23*2</f>
        <v>0</v>
      </c>
      <c r="J23" s="445"/>
      <c r="K23" s="445"/>
    </row>
    <row r="24" spans="1:11" s="37" customFormat="1" ht="25.35" customHeight="1">
      <c r="B24" s="445"/>
      <c r="C24" s="446"/>
      <c r="D24" s="446"/>
      <c r="E24" s="446"/>
      <c r="F24" s="446"/>
      <c r="G24" s="445"/>
      <c r="H24" s="445"/>
      <c r="I24" s="445"/>
      <c r="J24" s="445"/>
      <c r="K24" s="445"/>
    </row>
    <row r="25" spans="1:11" s="37" customFormat="1" ht="13.5" customHeight="1">
      <c r="A25" s="112"/>
      <c r="B25" s="445"/>
      <c r="C25" s="445"/>
      <c r="D25" s="445"/>
      <c r="E25" s="445"/>
      <c r="F25" s="445"/>
      <c r="G25" s="445"/>
      <c r="H25" s="445"/>
      <c r="I25" s="445"/>
      <c r="J25" s="445"/>
      <c r="K25" s="445"/>
    </row>
    <row r="26" spans="1:11" s="37" customFormat="1" ht="20.100000000000001" customHeight="1">
      <c r="B26" s="957" t="s">
        <v>228</v>
      </c>
      <c r="C26" s="957"/>
      <c r="D26" s="957"/>
      <c r="E26" s="957"/>
      <c r="F26" s="445"/>
      <c r="G26" s="445"/>
      <c r="H26" s="445"/>
      <c r="I26" s="445"/>
      <c r="J26" s="445"/>
      <c r="K26" s="445"/>
    </row>
    <row r="27" spans="1:11" s="37" customFormat="1" ht="20.100000000000001" customHeight="1" thickBot="1">
      <c r="A27" s="437"/>
      <c r="B27" s="957" t="s">
        <v>212</v>
      </c>
      <c r="C27" s="957"/>
      <c r="D27" s="957"/>
      <c r="E27" s="957"/>
      <c r="F27" s="445"/>
      <c r="G27" s="445"/>
      <c r="H27" s="445"/>
      <c r="I27" s="445"/>
    </row>
    <row r="28" spans="1:11" s="37" customFormat="1" ht="108" customHeight="1" thickBot="1">
      <c r="A28" s="436" t="s">
        <v>213</v>
      </c>
      <c r="B28" s="447" t="s">
        <v>214</v>
      </c>
      <c r="C28" s="390" t="s">
        <v>229</v>
      </c>
      <c r="D28" s="390" t="s">
        <v>215</v>
      </c>
      <c r="E28" s="390" t="s">
        <v>216</v>
      </c>
      <c r="F28" s="390" t="s">
        <v>217</v>
      </c>
      <c r="G28" s="991" t="s">
        <v>218</v>
      </c>
      <c r="H28" s="390" t="s">
        <v>50</v>
      </c>
      <c r="I28" s="992" t="s">
        <v>219</v>
      </c>
      <c r="J28" s="112"/>
      <c r="K28" s="112"/>
    </row>
    <row r="29" spans="1:11" s="37" customFormat="1" ht="20.100000000000001" customHeight="1">
      <c r="A29" s="437" t="str">
        <f t="shared" ref="A29:B31" si="0">A14</f>
        <v>UPPER LEVEL - BACCALAUREATE</v>
      </c>
      <c r="B29" s="448">
        <f t="shared" si="0"/>
        <v>91.79</v>
      </c>
      <c r="C29" s="1136">
        <v>275.52999999999997</v>
      </c>
      <c r="D29" s="1136">
        <v>18.37</v>
      </c>
      <c r="E29" s="671">
        <f>D14</f>
        <v>9.18</v>
      </c>
      <c r="F29" s="1136">
        <v>12.55</v>
      </c>
      <c r="G29" s="1136">
        <v>18.37</v>
      </c>
      <c r="H29" s="449">
        <f>SUM(B29:G29)</f>
        <v>425.79</v>
      </c>
      <c r="I29" s="469">
        <f>H29*30</f>
        <v>12773.7</v>
      </c>
      <c r="J29" s="24"/>
    </row>
    <row r="30" spans="1:11" s="37" customFormat="1" ht="20.100000000000001" customHeight="1">
      <c r="A30" s="112" t="str">
        <f t="shared" si="0"/>
        <v>LOWER LEVEL - CREDIT (A &amp; P, PSV, DEVELOPMENTAL EDUCATION AND EPI)</v>
      </c>
      <c r="B30" s="810">
        <f t="shared" si="0"/>
        <v>80.94</v>
      </c>
      <c r="C30" s="1140">
        <v>242.97</v>
      </c>
      <c r="D30" s="1140">
        <v>16.2</v>
      </c>
      <c r="E30" s="811">
        <f>D15</f>
        <v>7.63</v>
      </c>
      <c r="F30" s="1140">
        <v>22.96</v>
      </c>
      <c r="G30" s="1140">
        <v>16.2</v>
      </c>
      <c r="H30" s="806">
        <f>SUM(B30:G30)</f>
        <v>386.89999999999992</v>
      </c>
      <c r="I30" s="438">
        <f>H30*30</f>
        <v>11606.999999999998</v>
      </c>
    </row>
    <row r="31" spans="1:11" s="37" customFormat="1" ht="20.100000000000001" customHeight="1" thickBot="1">
      <c r="A31" s="112" t="str">
        <f t="shared" si="0"/>
        <v>CAREER CERTIFICATE AND APPLIED TECHNOLOGY DIPLOMA</v>
      </c>
      <c r="B31" s="526">
        <f t="shared" si="0"/>
        <v>68.599999999999994</v>
      </c>
      <c r="C31" s="1137">
        <v>205.82</v>
      </c>
      <c r="D31" s="1137">
        <v>0</v>
      </c>
      <c r="E31" s="406"/>
      <c r="F31" s="1137">
        <v>13.72</v>
      </c>
      <c r="G31" s="1137">
        <v>13.72</v>
      </c>
      <c r="H31" s="439">
        <f>SUM(B31:G31)</f>
        <v>301.86</v>
      </c>
      <c r="I31" s="807">
        <f>H31*30</f>
        <v>9055.8000000000011</v>
      </c>
    </row>
    <row r="32" spans="1:11" s="37" customFormat="1" ht="20.100000000000001" customHeight="1" thickBot="1">
      <c r="A32" s="443"/>
      <c r="B32" s="440"/>
      <c r="C32" s="440"/>
      <c r="D32" s="440"/>
      <c r="E32" s="440"/>
      <c r="F32" s="440"/>
      <c r="G32" s="440"/>
      <c r="H32" s="440"/>
      <c r="I32" s="450"/>
    </row>
    <row r="33" spans="1:11" s="37" customFormat="1" ht="65.099999999999994" customHeight="1" thickBot="1">
      <c r="A33" s="451" t="s">
        <v>213</v>
      </c>
      <c r="B33" s="452" t="s">
        <v>222</v>
      </c>
      <c r="C33" s="478"/>
      <c r="D33" s="478"/>
      <c r="E33" s="478"/>
      <c r="F33" s="478"/>
      <c r="G33" s="478"/>
      <c r="H33" s="390" t="s">
        <v>50</v>
      </c>
      <c r="I33" s="992" t="s">
        <v>223</v>
      </c>
      <c r="J33" s="24"/>
      <c r="K33" s="24"/>
    </row>
    <row r="34" spans="1:11" s="37" customFormat="1" ht="20.100000000000001" customHeight="1">
      <c r="A34" s="35" t="str">
        <f>A19</f>
        <v>VOCATIONAL PREPARATORY (PER TERM)</v>
      </c>
      <c r="B34" s="453">
        <f>B19</f>
        <v>0</v>
      </c>
      <c r="C34" s="476"/>
      <c r="D34" s="476"/>
      <c r="E34" s="476"/>
      <c r="F34" s="476"/>
      <c r="G34" s="476"/>
      <c r="H34" s="812">
        <f>B34</f>
        <v>0</v>
      </c>
      <c r="I34" s="470">
        <f>H34*3</f>
        <v>0</v>
      </c>
      <c r="J34" s="454"/>
      <c r="K34" s="454"/>
    </row>
    <row r="35" spans="1:11" s="37" customFormat="1" ht="20.100000000000001" customHeight="1" thickBot="1">
      <c r="A35" s="35" t="str">
        <f>A20</f>
        <v>ADULT GENERAL EDUCATION AND SECONDARY (PER TERM)</v>
      </c>
      <c r="B35" s="813">
        <f>B20</f>
        <v>0</v>
      </c>
      <c r="C35" s="477"/>
      <c r="D35" s="477"/>
      <c r="E35" s="477"/>
      <c r="F35" s="477"/>
      <c r="G35" s="477"/>
      <c r="H35" s="455">
        <f>B35</f>
        <v>0</v>
      </c>
      <c r="I35" s="814">
        <f>H35*3</f>
        <v>0</v>
      </c>
      <c r="J35" s="24"/>
      <c r="K35" s="24"/>
    </row>
    <row r="36" spans="1:11" s="37" customFormat="1" ht="20.100000000000001" customHeight="1" thickBot="1">
      <c r="A36" s="443"/>
      <c r="B36" s="559"/>
      <c r="C36" s="440"/>
      <c r="D36" s="440"/>
      <c r="E36" s="440"/>
      <c r="F36" s="440"/>
      <c r="G36" s="440"/>
      <c r="H36" s="559"/>
      <c r="I36" s="560"/>
      <c r="J36" s="24"/>
      <c r="K36" s="24"/>
    </row>
    <row r="37" spans="1:11" s="37" customFormat="1" ht="20.100000000000001" customHeight="1">
      <c r="A37" s="35" t="str">
        <f>A22</f>
        <v>VOCATIONAL PREPARATORY (PER HALF YEAR)</v>
      </c>
      <c r="B37" s="453">
        <f>B22</f>
        <v>0</v>
      </c>
      <c r="C37" s="670"/>
      <c r="D37" s="670"/>
      <c r="E37" s="670"/>
      <c r="F37" s="670"/>
      <c r="G37" s="670"/>
      <c r="H37" s="449">
        <f>B37</f>
        <v>0</v>
      </c>
      <c r="I37" s="469">
        <f>H37*2</f>
        <v>0</v>
      </c>
      <c r="J37" s="24"/>
      <c r="K37" s="24"/>
    </row>
    <row r="38" spans="1:11" s="37" customFormat="1" ht="20.100000000000001" customHeight="1" thickBot="1">
      <c r="A38" s="35" t="str">
        <f>A23</f>
        <v>ADULT GENERAL EDUCATION AND SECONDARY (PER HALF YEAR)</v>
      </c>
      <c r="B38" s="813">
        <f>B23</f>
        <v>0</v>
      </c>
      <c r="C38" s="477"/>
      <c r="D38" s="477"/>
      <c r="E38" s="477"/>
      <c r="F38" s="477"/>
      <c r="G38" s="477"/>
      <c r="H38" s="815">
        <f>B38</f>
        <v>0</v>
      </c>
      <c r="I38" s="471">
        <f>H38*2</f>
        <v>0</v>
      </c>
      <c r="J38" s="24"/>
      <c r="K38" s="24"/>
    </row>
    <row r="39" spans="1:11" s="37" customFormat="1" ht="20.100000000000001" customHeight="1">
      <c r="A39" s="35"/>
      <c r="B39" s="456" t="s">
        <v>230</v>
      </c>
      <c r="C39" s="24"/>
      <c r="D39" s="24"/>
      <c r="E39" s="24"/>
      <c r="F39" s="24"/>
      <c r="G39" s="24"/>
      <c r="H39" s="24"/>
      <c r="I39" s="24"/>
      <c r="J39" s="24"/>
      <c r="K39" s="24"/>
    </row>
    <row r="40" spans="1:11" ht="35.450000000000003" customHeight="1">
      <c r="A40" s="222"/>
      <c r="B40" s="1080" t="s">
        <v>770</v>
      </c>
      <c r="C40" s="1080"/>
      <c r="D40" s="1080"/>
      <c r="E40" s="1080"/>
      <c r="F40" s="1080"/>
      <c r="G40" s="1080"/>
      <c r="H40" s="1080"/>
      <c r="I40" s="1080"/>
      <c r="J40" s="216"/>
    </row>
    <row r="41" spans="1:11" ht="20.25" customHeight="1">
      <c r="A41" s="218"/>
      <c r="B41" s="218"/>
      <c r="C41" s="218"/>
      <c r="D41" s="218"/>
      <c r="E41" s="218"/>
      <c r="F41" s="218"/>
      <c r="G41" s="218"/>
      <c r="H41" s="218"/>
      <c r="I41" s="218"/>
    </row>
    <row r="42" spans="1:11" ht="20.25" customHeight="1">
      <c r="A42" s="218"/>
      <c r="B42" s="218"/>
      <c r="C42" s="218"/>
      <c r="D42" s="218"/>
      <c r="E42" s="218"/>
      <c r="F42" s="218"/>
      <c r="G42" s="218"/>
      <c r="H42" s="218"/>
      <c r="I42" s="218"/>
    </row>
    <row r="43" spans="1:11" ht="20.25" customHeight="1">
      <c r="A43" s="218"/>
      <c r="B43" s="218"/>
      <c r="C43" s="218"/>
      <c r="D43" s="218"/>
      <c r="E43" s="218"/>
      <c r="F43" s="218"/>
      <c r="G43" s="218"/>
      <c r="H43" s="218"/>
      <c r="I43" s="218"/>
    </row>
    <row r="44" spans="1:11" ht="20.25" customHeight="1">
      <c r="A44" s="218"/>
      <c r="B44" s="218"/>
      <c r="C44" s="218"/>
      <c r="D44" s="218"/>
      <c r="E44" s="218"/>
      <c r="F44" s="218"/>
      <c r="G44" s="218"/>
      <c r="H44" s="218"/>
      <c r="I44" s="218"/>
    </row>
    <row r="45" spans="1:11" ht="20.25" customHeight="1">
      <c r="A45" s="218"/>
      <c r="B45" s="218"/>
      <c r="C45" s="218"/>
      <c r="D45" s="218"/>
      <c r="E45" s="218"/>
      <c r="F45" s="218"/>
      <c r="G45" s="218"/>
      <c r="H45" s="218"/>
      <c r="I45" s="218"/>
    </row>
    <row r="46" spans="1:11" ht="20.25" customHeight="1">
      <c r="A46" s="218"/>
      <c r="B46" s="218"/>
      <c r="C46" s="218"/>
      <c r="D46" s="218"/>
      <c r="E46" s="218"/>
      <c r="F46" s="218"/>
      <c r="G46" s="218"/>
      <c r="H46" s="218"/>
      <c r="I46" s="218"/>
    </row>
    <row r="47" spans="1:11" ht="20.25" customHeight="1">
      <c r="A47" s="218"/>
      <c r="B47" s="218"/>
      <c r="C47" s="218"/>
      <c r="D47" s="218"/>
      <c r="E47" s="218"/>
      <c r="F47" s="218"/>
      <c r="G47" s="218"/>
      <c r="H47" s="218"/>
      <c r="I47" s="218"/>
    </row>
    <row r="48" spans="1:11" ht="20.25" customHeight="1">
      <c r="A48" s="218"/>
      <c r="B48" s="218"/>
      <c r="C48" s="218"/>
      <c r="D48" s="218"/>
      <c r="E48" s="218"/>
      <c r="F48" s="218"/>
      <c r="G48" s="218"/>
      <c r="H48" s="218"/>
      <c r="I48" s="218"/>
    </row>
    <row r="49" spans="1:9" ht="20.25" customHeight="1">
      <c r="A49" s="218"/>
      <c r="B49" s="218"/>
      <c r="C49" s="218"/>
      <c r="D49" s="218"/>
      <c r="E49" s="218"/>
      <c r="F49" s="218"/>
      <c r="G49" s="218"/>
      <c r="H49" s="218"/>
      <c r="I49" s="218"/>
    </row>
    <row r="50" spans="1:9" ht="20.25" customHeight="1">
      <c r="A50" s="218"/>
      <c r="B50" s="218"/>
      <c r="C50" s="218"/>
      <c r="D50" s="218"/>
      <c r="E50" s="218"/>
      <c r="F50" s="218"/>
      <c r="G50" s="218"/>
      <c r="H50" s="218"/>
      <c r="I50" s="218"/>
    </row>
    <row r="51" spans="1:9" ht="20.25" customHeight="1">
      <c r="A51" s="218"/>
      <c r="B51" s="218"/>
      <c r="C51" s="218"/>
      <c r="D51" s="218"/>
      <c r="E51" s="218"/>
      <c r="F51" s="218"/>
      <c r="G51" s="218"/>
      <c r="H51" s="218"/>
      <c r="I51" s="218"/>
    </row>
    <row r="52" spans="1:9" ht="20.25" customHeight="1">
      <c r="A52" s="218"/>
      <c r="B52" s="218"/>
      <c r="C52" s="218"/>
      <c r="D52" s="218"/>
      <c r="E52" s="218"/>
      <c r="F52" s="218"/>
      <c r="G52" s="218"/>
      <c r="H52" s="218"/>
      <c r="I52" s="218"/>
    </row>
    <row r="53" spans="1:9" ht="20.25" customHeight="1">
      <c r="B53" s="218"/>
      <c r="C53" s="218"/>
      <c r="D53" s="218"/>
      <c r="E53" s="218"/>
      <c r="F53" s="218"/>
      <c r="G53" s="218"/>
      <c r="H53" s="218"/>
      <c r="I53" s="218"/>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JV0kDlPCdfdLjUsMaZU+8AHNdn4ox1f4qImUEzlovUGkkj+dZREpJDAizpU2vfJmEPKjWM3e7lBjRhdYXj7N7w==" saltValue="yUlF00yyYHfU6H9YEtAwyQ=="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80" zoomScaleNormal="80" zoomScaleSheetLayoutView="50" zoomScalePageLayoutView="50" workbookViewId="0">
      <selection activeCell="H12" sqref="H12"/>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7" t="s">
        <v>231</v>
      </c>
    </row>
    <row r="2" spans="1:10" ht="20.100000000000001" customHeight="1">
      <c r="A2" s="1082" t="s">
        <v>11</v>
      </c>
      <c r="B2" s="1082"/>
      <c r="C2" s="1082"/>
      <c r="D2" s="1082"/>
      <c r="E2" s="1082"/>
      <c r="F2" s="1082"/>
      <c r="G2" s="1082"/>
      <c r="H2" s="990"/>
      <c r="I2" s="221"/>
    </row>
    <row r="3" spans="1:10" ht="20.100000000000001" customHeight="1">
      <c r="A3" s="1082" t="s">
        <v>771</v>
      </c>
      <c r="B3" s="1082"/>
      <c r="C3" s="1082"/>
      <c r="D3" s="1082"/>
      <c r="E3" s="1082"/>
      <c r="F3" s="1082"/>
      <c r="G3" s="1082"/>
      <c r="H3" s="990"/>
    </row>
    <row r="4" spans="1:10" ht="20.100000000000001" customHeight="1">
      <c r="A4" s="423"/>
      <c r="B4" s="423"/>
      <c r="C4" s="423"/>
      <c r="D4" s="423"/>
      <c r="E4" s="423"/>
      <c r="F4" s="423"/>
      <c r="G4" s="423"/>
      <c r="H4" s="370"/>
    </row>
    <row r="5" spans="1:10" ht="27.6" customHeight="1" thickBot="1">
      <c r="A5" s="1082" t="s">
        <v>232</v>
      </c>
      <c r="B5" s="1083" t="str">
        <f>'CHECK SHEET'!D7</f>
        <v>St. Petersburg College</v>
      </c>
      <c r="C5" s="1083"/>
      <c r="D5" s="1083"/>
      <c r="E5" s="1083"/>
      <c r="F5" s="1083"/>
      <c r="G5" s="423"/>
      <c r="H5" s="1081"/>
    </row>
    <row r="6" spans="1:10" ht="20.100000000000001" customHeight="1">
      <c r="A6" s="423"/>
      <c r="B6" s="423"/>
      <c r="C6" s="423"/>
      <c r="D6" s="423"/>
      <c r="E6" s="423"/>
      <c r="F6" s="423"/>
      <c r="G6" s="423"/>
      <c r="H6" s="1081"/>
    </row>
    <row r="7" spans="1:10" ht="20.100000000000001" customHeight="1">
      <c r="A7" s="987" t="s">
        <v>233</v>
      </c>
      <c r="B7" s="987"/>
      <c r="C7" s="987"/>
      <c r="D7" s="987"/>
      <c r="E7" s="987"/>
      <c r="F7" s="987"/>
      <c r="G7" s="987"/>
      <c r="H7" s="987"/>
    </row>
    <row r="8" spans="1:10" ht="20.100000000000001" customHeight="1" thickBot="1">
      <c r="C8" s="35"/>
    </row>
    <row r="9" spans="1:10" ht="85.5" customHeight="1" thickBot="1">
      <c r="A9" s="371" t="s">
        <v>234</v>
      </c>
      <c r="B9" s="371" t="s">
        <v>235</v>
      </c>
      <c r="C9" s="379" t="s">
        <v>236</v>
      </c>
      <c r="D9" s="379" t="s">
        <v>237</v>
      </c>
      <c r="E9" s="379" t="s">
        <v>238</v>
      </c>
      <c r="F9" s="379" t="s">
        <v>74</v>
      </c>
      <c r="G9" s="379" t="s">
        <v>239</v>
      </c>
      <c r="H9" s="380" t="s">
        <v>240</v>
      </c>
      <c r="I9" s="410"/>
      <c r="J9" s="149"/>
    </row>
    <row r="10" spans="1:10" ht="20.100000000000001" customHeight="1">
      <c r="A10" s="672" t="s">
        <v>214</v>
      </c>
      <c r="B10" s="673" t="s">
        <v>241</v>
      </c>
      <c r="C10" s="674">
        <v>40101</v>
      </c>
      <c r="D10" s="816">
        <v>82371.467480117703</v>
      </c>
      <c r="E10" s="675">
        <v>0</v>
      </c>
      <c r="F10" s="676">
        <f t="shared" ref="F10:F15" si="0">+D10-E10</f>
        <v>82371.467480117703</v>
      </c>
      <c r="G10" s="676">
        <f>'EXHIBIT B'!B14</f>
        <v>91.79</v>
      </c>
      <c r="H10" s="677">
        <f>ROUND(+F10*G10,0)</f>
        <v>7560877</v>
      </c>
      <c r="I10" s="149"/>
      <c r="J10" s="149"/>
    </row>
    <row r="11" spans="1:10" ht="20.100000000000001" customHeight="1">
      <c r="A11" s="817" t="s">
        <v>214</v>
      </c>
      <c r="B11" s="817" t="s">
        <v>138</v>
      </c>
      <c r="C11" s="818" t="s">
        <v>242</v>
      </c>
      <c r="D11" s="816">
        <v>261744.76155176599</v>
      </c>
      <c r="E11" s="816">
        <v>0</v>
      </c>
      <c r="F11" s="819">
        <f t="shared" si="0"/>
        <v>261744.76155176599</v>
      </c>
      <c r="G11" s="819">
        <f>+'EXHIBIT B'!B15</f>
        <v>80.94</v>
      </c>
      <c r="H11" s="820">
        <f t="shared" ref="H11:H15" si="1">ROUND(+F11*G11,0)</f>
        <v>21185621</v>
      </c>
      <c r="I11" s="149"/>
      <c r="J11" s="149"/>
    </row>
    <row r="12" spans="1:10" ht="20.100000000000001" customHeight="1">
      <c r="A12" s="817" t="s">
        <v>214</v>
      </c>
      <c r="B12" s="817" t="s">
        <v>139</v>
      </c>
      <c r="C12" s="818" t="s">
        <v>243</v>
      </c>
      <c r="D12" s="816">
        <v>123464.04744255</v>
      </c>
      <c r="E12" s="816">
        <v>0</v>
      </c>
      <c r="F12" s="819">
        <f t="shared" si="0"/>
        <v>123464.04744255</v>
      </c>
      <c r="G12" s="819">
        <f>+'EXHIBIT B'!B15</f>
        <v>80.94</v>
      </c>
      <c r="H12" s="820">
        <f t="shared" si="1"/>
        <v>9993180</v>
      </c>
      <c r="I12" s="149"/>
      <c r="J12" s="149"/>
    </row>
    <row r="13" spans="1:10" ht="20.100000000000001" customHeight="1">
      <c r="A13" s="817" t="s">
        <v>214</v>
      </c>
      <c r="B13" s="817" t="s">
        <v>85</v>
      </c>
      <c r="C13" s="818" t="s">
        <v>244</v>
      </c>
      <c r="D13" s="821">
        <v>6246.3556851311996</v>
      </c>
      <c r="E13" s="821">
        <v>0</v>
      </c>
      <c r="F13" s="819">
        <f t="shared" si="0"/>
        <v>6246.3556851311996</v>
      </c>
      <c r="G13" s="819">
        <f>+'EXHIBIT B'!B16</f>
        <v>68.599999999999994</v>
      </c>
      <c r="H13" s="820">
        <f t="shared" si="1"/>
        <v>428500</v>
      </c>
      <c r="I13" s="149"/>
      <c r="J13" s="149"/>
    </row>
    <row r="14" spans="1:10" ht="20.100000000000001" customHeight="1">
      <c r="A14" s="817" t="s">
        <v>214</v>
      </c>
      <c r="B14" s="817" t="s">
        <v>140</v>
      </c>
      <c r="C14" s="818" t="s">
        <v>245</v>
      </c>
      <c r="D14" s="816">
        <v>15172.8811465283</v>
      </c>
      <c r="E14" s="816">
        <v>0</v>
      </c>
      <c r="F14" s="819">
        <f t="shared" si="0"/>
        <v>15172.8811465283</v>
      </c>
      <c r="G14" s="819">
        <f>+'EXHIBIT B'!B15</f>
        <v>80.94</v>
      </c>
      <c r="H14" s="820">
        <f t="shared" si="1"/>
        <v>1228093</v>
      </c>
      <c r="I14" s="149"/>
      <c r="J14" s="149"/>
    </row>
    <row r="15" spans="1:10" ht="20.100000000000001" customHeight="1" thickBot="1">
      <c r="A15" s="822" t="s">
        <v>214</v>
      </c>
      <c r="B15" s="822" t="s">
        <v>141</v>
      </c>
      <c r="C15" s="823">
        <v>40160</v>
      </c>
      <c r="D15" s="824">
        <v>0</v>
      </c>
      <c r="E15" s="824">
        <v>0</v>
      </c>
      <c r="F15" s="825">
        <f t="shared" si="0"/>
        <v>0</v>
      </c>
      <c r="G15" s="825">
        <f>+'EXHIBIT B'!B15</f>
        <v>80.94</v>
      </c>
      <c r="H15" s="826">
        <f t="shared" si="1"/>
        <v>0</v>
      </c>
      <c r="I15" s="149"/>
      <c r="J15" s="149"/>
    </row>
    <row r="16" spans="1:10" ht="24.95" customHeight="1" thickBot="1">
      <c r="A16" s="381"/>
      <c r="B16" s="381"/>
      <c r="C16" s="381"/>
      <c r="D16" s="382"/>
      <c r="E16" s="382"/>
      <c r="F16" s="383"/>
      <c r="G16" s="383"/>
      <c r="H16" s="384"/>
      <c r="I16" s="149"/>
      <c r="J16" s="149"/>
    </row>
    <row r="17" spans="1:10" ht="24.95" customHeight="1" thickBot="1">
      <c r="A17" s="385"/>
      <c r="B17" s="386" t="s">
        <v>246</v>
      </c>
      <c r="C17" s="386"/>
      <c r="D17" s="387">
        <f>SUM(D10:D15)</f>
        <v>488999.51330609323</v>
      </c>
      <c r="E17" s="387">
        <f>SUM(E10:E15)</f>
        <v>0</v>
      </c>
      <c r="F17" s="388">
        <f>SUM(F10:F15)</f>
        <v>488999.51330609323</v>
      </c>
      <c r="G17" s="388"/>
      <c r="H17" s="389">
        <f>SUM(H10:H15)</f>
        <v>40396271</v>
      </c>
      <c r="I17" s="149"/>
      <c r="J17" s="149"/>
    </row>
    <row r="18" spans="1:10" ht="88.35" customHeight="1" thickBot="1">
      <c r="A18" s="390" t="s">
        <v>247</v>
      </c>
      <c r="B18" s="371" t="s">
        <v>235</v>
      </c>
      <c r="C18" s="379" t="s">
        <v>236</v>
      </c>
      <c r="D18" s="390" t="s">
        <v>248</v>
      </c>
      <c r="E18" s="379" t="s">
        <v>239</v>
      </c>
      <c r="F18" s="380" t="s">
        <v>240</v>
      </c>
    </row>
    <row r="19" spans="1:10" ht="24.95" customHeight="1">
      <c r="A19" s="827" t="s">
        <v>229</v>
      </c>
      <c r="B19" s="827" t="s">
        <v>241</v>
      </c>
      <c r="C19" s="828">
        <v>40301</v>
      </c>
      <c r="D19" s="1141">
        <v>1718.9924872065001</v>
      </c>
      <c r="E19" s="829">
        <f>'EXHIBIT B'!C29</f>
        <v>275.52999999999997</v>
      </c>
      <c r="F19" s="830">
        <f t="shared" ref="F19:F24" si="2">ROUND(+D19*E19,0)</f>
        <v>473634</v>
      </c>
      <c r="G19" s="391"/>
      <c r="H19" s="391"/>
    </row>
    <row r="20" spans="1:10" ht="20.100000000000001" customHeight="1">
      <c r="A20" s="831" t="s">
        <v>229</v>
      </c>
      <c r="B20" s="831" t="s">
        <v>138</v>
      </c>
      <c r="C20" s="832" t="s">
        <v>249</v>
      </c>
      <c r="D20" s="839">
        <v>11280.9318022801</v>
      </c>
      <c r="E20" s="833">
        <f>+'EXHIBIT B'!C30</f>
        <v>242.97</v>
      </c>
      <c r="F20" s="834">
        <f t="shared" si="2"/>
        <v>2740928</v>
      </c>
      <c r="G20" s="392"/>
      <c r="H20" s="392"/>
    </row>
    <row r="21" spans="1:10" ht="20.100000000000001" customHeight="1">
      <c r="A21" s="831" t="s">
        <v>229</v>
      </c>
      <c r="B21" s="831" t="s">
        <v>139</v>
      </c>
      <c r="C21" s="832" t="s">
        <v>250</v>
      </c>
      <c r="D21" s="839">
        <v>4619.6526320122002</v>
      </c>
      <c r="E21" s="833">
        <f>+'EXHIBIT B'!C30</f>
        <v>242.97</v>
      </c>
      <c r="F21" s="834">
        <f t="shared" si="2"/>
        <v>1122437</v>
      </c>
      <c r="G21" s="392"/>
      <c r="H21" s="392"/>
    </row>
    <row r="22" spans="1:10" ht="20.100000000000001" customHeight="1">
      <c r="A22" s="831" t="s">
        <v>229</v>
      </c>
      <c r="B22" s="831" t="s">
        <v>85</v>
      </c>
      <c r="C22" s="832" t="s">
        <v>251</v>
      </c>
      <c r="D22" s="839">
        <v>104.4602079487</v>
      </c>
      <c r="E22" s="833">
        <f>+'EXHIBIT B'!C31</f>
        <v>205.82</v>
      </c>
      <c r="F22" s="834">
        <f t="shared" si="2"/>
        <v>21500</v>
      </c>
      <c r="G22" s="392"/>
      <c r="H22" s="392"/>
    </row>
    <row r="23" spans="1:10" ht="20.100000000000001" customHeight="1">
      <c r="A23" s="831" t="s">
        <v>229</v>
      </c>
      <c r="B23" s="831" t="s">
        <v>140</v>
      </c>
      <c r="C23" s="832" t="s">
        <v>252</v>
      </c>
      <c r="D23" s="839">
        <v>1294.8676791373</v>
      </c>
      <c r="E23" s="833">
        <f>+'EXHIBIT B'!C30</f>
        <v>242.97</v>
      </c>
      <c r="F23" s="834">
        <f t="shared" si="2"/>
        <v>314614</v>
      </c>
      <c r="G23" s="392"/>
      <c r="H23" s="392"/>
    </row>
    <row r="24" spans="1:10" ht="20.100000000000001" customHeight="1" thickBot="1">
      <c r="A24" s="735" t="s">
        <v>229</v>
      </c>
      <c r="B24" s="735" t="s">
        <v>141</v>
      </c>
      <c r="C24" s="736">
        <v>40360</v>
      </c>
      <c r="D24" s="1142">
        <v>0</v>
      </c>
      <c r="E24" s="737">
        <f>+'EXHIBIT B'!C30</f>
        <v>242.97</v>
      </c>
      <c r="F24" s="738">
        <f t="shared" si="2"/>
        <v>0</v>
      </c>
      <c r="G24" s="392"/>
      <c r="H24" s="392"/>
    </row>
    <row r="25" spans="1:10" ht="20.100000000000001" customHeight="1" thickBot="1">
      <c r="A25" s="393"/>
      <c r="B25" s="393"/>
      <c r="C25" s="393"/>
      <c r="D25" s="393"/>
      <c r="E25" s="394"/>
      <c r="F25" s="395"/>
      <c r="G25" s="57"/>
      <c r="H25" s="57"/>
    </row>
    <row r="26" spans="1:10" ht="20.100000000000001" customHeight="1" thickBot="1">
      <c r="A26" s="835"/>
      <c r="B26" s="835" t="s">
        <v>246</v>
      </c>
      <c r="C26" s="835"/>
      <c r="D26" s="836">
        <f>SUM(D19:D24)</f>
        <v>19018.904808584801</v>
      </c>
      <c r="E26" s="837"/>
      <c r="F26" s="838">
        <f>SUM(F19:F24)</f>
        <v>4673113</v>
      </c>
      <c r="G26" s="396"/>
      <c r="H26" s="396"/>
    </row>
    <row r="27" spans="1:10" ht="20.100000000000001" customHeight="1" thickBot="1">
      <c r="A27" s="397" t="s">
        <v>253</v>
      </c>
      <c r="B27" s="397"/>
      <c r="C27" s="397"/>
      <c r="D27" s="397"/>
      <c r="E27" s="397"/>
      <c r="F27" s="398"/>
      <c r="G27" s="678"/>
      <c r="H27" s="399">
        <f>H17+F26</f>
        <v>45069384</v>
      </c>
    </row>
    <row r="28" spans="1:10" ht="24.95" customHeight="1">
      <c r="I28" s="211"/>
    </row>
    <row r="29" spans="1:10" ht="24.95" customHeight="1">
      <c r="A29" s="987" t="s">
        <v>254</v>
      </c>
      <c r="B29" s="987"/>
      <c r="C29" s="987"/>
      <c r="D29" s="987"/>
      <c r="E29" s="987"/>
      <c r="F29" s="987"/>
      <c r="G29" s="987"/>
      <c r="H29" s="987"/>
      <c r="I29" s="211"/>
    </row>
    <row r="30" spans="1:10" ht="24.95" customHeight="1" thickBot="1">
      <c r="A30" s="20"/>
      <c r="B30" s="20"/>
      <c r="C30" s="20"/>
      <c r="D30" s="20"/>
      <c r="E30" s="20"/>
      <c r="F30" s="20"/>
      <c r="G30" s="20"/>
      <c r="H30" s="20"/>
      <c r="I30" s="211"/>
    </row>
    <row r="31" spans="1:10" ht="88.35" customHeight="1" thickBot="1">
      <c r="A31" s="390" t="s">
        <v>255</v>
      </c>
      <c r="B31" s="400" t="s">
        <v>235</v>
      </c>
      <c r="C31" s="390" t="s">
        <v>236</v>
      </c>
      <c r="D31" s="390" t="s">
        <v>256</v>
      </c>
      <c r="E31" s="390" t="s">
        <v>257</v>
      </c>
      <c r="F31" s="390" t="s">
        <v>74</v>
      </c>
      <c r="G31" s="390" t="s">
        <v>258</v>
      </c>
      <c r="H31" s="992" t="s">
        <v>240</v>
      </c>
      <c r="I31" s="211"/>
    </row>
    <row r="32" spans="1:10" ht="20.100000000000001" customHeight="1">
      <c r="A32" s="679" t="s">
        <v>259</v>
      </c>
      <c r="B32" s="679" t="s">
        <v>260</v>
      </c>
      <c r="C32" s="680" t="s">
        <v>261</v>
      </c>
      <c r="D32" s="681">
        <v>0</v>
      </c>
      <c r="E32" s="681">
        <v>0</v>
      </c>
      <c r="F32" s="682">
        <f>D32-E32</f>
        <v>0</v>
      </c>
      <c r="G32" s="682">
        <f>'EXHIBIT B'!B19</f>
        <v>0</v>
      </c>
      <c r="H32" s="683">
        <f>ROUND(+F32*G32,0)</f>
        <v>0</v>
      </c>
    </row>
    <row r="33" spans="1:12" ht="20.100000000000001" customHeight="1">
      <c r="A33" s="831" t="s">
        <v>259</v>
      </c>
      <c r="B33" s="831" t="s">
        <v>262</v>
      </c>
      <c r="C33" s="832" t="s">
        <v>263</v>
      </c>
      <c r="D33" s="839">
        <v>0</v>
      </c>
      <c r="E33" s="839">
        <v>0</v>
      </c>
      <c r="F33" s="833">
        <f>D33-E33</f>
        <v>0</v>
      </c>
      <c r="G33" s="833">
        <f>'EXHIBIT B'!B20</f>
        <v>0</v>
      </c>
      <c r="H33" s="834">
        <f>ROUND(+F33*G33,0)</f>
        <v>0</v>
      </c>
    </row>
    <row r="34" spans="1:12" ht="20.100000000000001" customHeight="1">
      <c r="A34" s="831" t="s">
        <v>264</v>
      </c>
      <c r="B34" s="831" t="s">
        <v>260</v>
      </c>
      <c r="C34" s="832">
        <v>40180</v>
      </c>
      <c r="D34" s="839">
        <v>0</v>
      </c>
      <c r="E34" s="839">
        <v>0</v>
      </c>
      <c r="F34" s="833">
        <f>D34-E34</f>
        <v>0</v>
      </c>
      <c r="G34" s="833">
        <f>'EXHIBIT B'!B22</f>
        <v>0</v>
      </c>
      <c r="H34" s="834">
        <f>ROUND(+F34*G34,0)</f>
        <v>0</v>
      </c>
    </row>
    <row r="35" spans="1:12" ht="20.100000000000001" customHeight="1" thickBot="1">
      <c r="A35" s="840" t="s">
        <v>264</v>
      </c>
      <c r="B35" s="840" t="s">
        <v>262</v>
      </c>
      <c r="C35" s="841">
        <v>40190</v>
      </c>
      <c r="D35" s="842">
        <v>0</v>
      </c>
      <c r="E35" s="842">
        <v>0</v>
      </c>
      <c r="F35" s="843">
        <f>D35-E35</f>
        <v>0</v>
      </c>
      <c r="G35" s="843">
        <f>'EXHIBIT B'!B23</f>
        <v>0</v>
      </c>
      <c r="H35" s="844">
        <f>ROUND(+F35*G35,0)</f>
        <v>0</v>
      </c>
    </row>
    <row r="36" spans="1:12" ht="20.100000000000001" customHeight="1" thickBot="1">
      <c r="A36" s="401"/>
      <c r="B36" s="375" t="s">
        <v>265</v>
      </c>
      <c r="C36" s="375"/>
      <c r="D36" s="402">
        <f>SUM(D32:D35)</f>
        <v>0</v>
      </c>
      <c r="E36" s="402">
        <f>SUM(E32:E35)</f>
        <v>0</v>
      </c>
      <c r="F36" s="403">
        <f>D36-E36</f>
        <v>0</v>
      </c>
      <c r="G36" s="403"/>
      <c r="H36" s="404">
        <f>SUM(H32:H35)</f>
        <v>0</v>
      </c>
    </row>
    <row r="37" spans="1:12" ht="24.95" customHeight="1" thickBot="1">
      <c r="A37" s="405"/>
      <c r="B37" s="406"/>
      <c r="C37" s="406"/>
      <c r="D37" s="406"/>
      <c r="E37" s="406"/>
      <c r="F37" s="406"/>
      <c r="G37" s="25"/>
      <c r="H37" s="25"/>
    </row>
    <row r="38" spans="1:12" ht="88.35" customHeight="1" thickBot="1">
      <c r="A38" s="407" t="s">
        <v>266</v>
      </c>
      <c r="B38" s="408" t="s">
        <v>235</v>
      </c>
      <c r="C38" s="390" t="s">
        <v>236</v>
      </c>
      <c r="D38" s="409" t="s">
        <v>256</v>
      </c>
      <c r="E38" s="409" t="s">
        <v>258</v>
      </c>
      <c r="F38" s="390" t="s">
        <v>240</v>
      </c>
      <c r="G38" s="410"/>
      <c r="H38" s="410"/>
    </row>
    <row r="39" spans="1:12" ht="20.100000000000001" customHeight="1">
      <c r="A39" s="679" t="s">
        <v>259</v>
      </c>
      <c r="B39" s="679" t="s">
        <v>260</v>
      </c>
      <c r="C39" s="680">
        <v>40380</v>
      </c>
      <c r="D39" s="681">
        <v>0</v>
      </c>
      <c r="E39" s="682">
        <f>'EXHIBIT B'!B34</f>
        <v>0</v>
      </c>
      <c r="F39" s="683">
        <f>D39*E39</f>
        <v>0</v>
      </c>
      <c r="G39" s="149"/>
      <c r="H39" s="149"/>
    </row>
    <row r="40" spans="1:12" ht="20.100000000000001" customHeight="1">
      <c r="A40" s="831" t="s">
        <v>259</v>
      </c>
      <c r="B40" s="831" t="s">
        <v>262</v>
      </c>
      <c r="C40" s="832">
        <v>40390</v>
      </c>
      <c r="D40" s="839">
        <v>0</v>
      </c>
      <c r="E40" s="833">
        <f>'EXHIBIT B'!B35</f>
        <v>0</v>
      </c>
      <c r="F40" s="834">
        <f>D40*E40</f>
        <v>0</v>
      </c>
      <c r="G40" s="25"/>
      <c r="H40" s="25"/>
    </row>
    <row r="41" spans="1:12" ht="20.100000000000001" customHeight="1">
      <c r="A41" s="831" t="s">
        <v>264</v>
      </c>
      <c r="B41" s="831" t="s">
        <v>260</v>
      </c>
      <c r="C41" s="832" t="s">
        <v>267</v>
      </c>
      <c r="D41" s="839">
        <v>0</v>
      </c>
      <c r="E41" s="833">
        <f>'EXHIBIT B'!B37</f>
        <v>0</v>
      </c>
      <c r="F41" s="834">
        <f>D41*E41</f>
        <v>0</v>
      </c>
      <c r="G41" s="25"/>
      <c r="H41" s="25"/>
    </row>
    <row r="42" spans="1:12" ht="20.100000000000001" customHeight="1" thickBot="1">
      <c r="A42" s="840" t="s">
        <v>264</v>
      </c>
      <c r="B42" s="840" t="s">
        <v>262</v>
      </c>
      <c r="C42" s="841" t="s">
        <v>268</v>
      </c>
      <c r="D42" s="842">
        <v>0</v>
      </c>
      <c r="E42" s="843">
        <f>'EXHIBIT B'!B38</f>
        <v>0</v>
      </c>
      <c r="F42" s="844">
        <f>D42*E42</f>
        <v>0</v>
      </c>
      <c r="G42" s="25"/>
      <c r="H42" s="25"/>
    </row>
    <row r="43" spans="1:12" ht="20.100000000000001" customHeight="1" thickBot="1">
      <c r="A43" s="411"/>
      <c r="B43" s="412" t="s">
        <v>246</v>
      </c>
      <c r="C43" s="412"/>
      <c r="D43" s="413">
        <f>SUM(D39:D42)</f>
        <v>0</v>
      </c>
      <c r="E43" s="414"/>
      <c r="F43" s="415">
        <f>SUM(F39:F42)</f>
        <v>0</v>
      </c>
      <c r="G43" s="149"/>
      <c r="H43" s="149"/>
    </row>
    <row r="44" spans="1:12" ht="20.100000000000001" customHeight="1" thickBot="1">
      <c r="A44" s="416" t="s">
        <v>269</v>
      </c>
      <c r="B44" s="417"/>
      <c r="C44" s="417"/>
      <c r="D44" s="417"/>
      <c r="E44" s="417"/>
      <c r="F44" s="417"/>
      <c r="G44" s="418"/>
      <c r="H44" s="684">
        <f>H36+F43</f>
        <v>0</v>
      </c>
      <c r="K44" s="19"/>
      <c r="L44" s="19"/>
    </row>
    <row r="45" spans="1:12" ht="20.100000000000001" customHeight="1" thickBot="1">
      <c r="A45" s="393"/>
      <c r="B45" s="393"/>
      <c r="C45" s="393"/>
      <c r="D45" s="393"/>
      <c r="E45" s="393"/>
      <c r="F45" s="393"/>
      <c r="G45" s="393"/>
      <c r="H45" s="394"/>
      <c r="K45" s="19"/>
      <c r="L45" s="19"/>
    </row>
    <row r="46" spans="1:12" ht="20.100000000000001" customHeight="1" thickBot="1">
      <c r="A46" s="412" t="s">
        <v>270</v>
      </c>
      <c r="B46" s="417"/>
      <c r="C46" s="397"/>
      <c r="D46" s="397"/>
      <c r="E46" s="397"/>
      <c r="F46" s="397"/>
      <c r="G46" s="419"/>
      <c r="H46" s="434">
        <f>H27+H44</f>
        <v>45069384</v>
      </c>
      <c r="K46" s="19"/>
      <c r="L46" s="19"/>
    </row>
    <row r="47" spans="1:12" ht="24.75" customHeight="1">
      <c r="A47" s="993"/>
      <c r="B47" s="993"/>
      <c r="C47" s="993"/>
      <c r="D47" s="993"/>
      <c r="E47" s="993"/>
      <c r="F47" s="993"/>
      <c r="G47" s="421"/>
      <c r="H47" s="421"/>
      <c r="K47" s="19"/>
      <c r="L47" s="19"/>
    </row>
    <row r="48" spans="1:12" ht="24.95" customHeight="1">
      <c r="A48" s="666" t="s">
        <v>271</v>
      </c>
      <c r="B48" s="20"/>
      <c r="C48" s="20"/>
      <c r="D48" s="20"/>
      <c r="E48" s="20"/>
      <c r="F48" s="20"/>
      <c r="G48" s="20"/>
      <c r="H48" s="367" t="s">
        <v>231</v>
      </c>
    </row>
    <row r="49" spans="1:10" ht="24.95" customHeight="1">
      <c r="A49" s="666"/>
      <c r="B49" s="20"/>
      <c r="C49" s="20"/>
      <c r="D49" s="20"/>
      <c r="E49" s="20"/>
      <c r="F49" s="20"/>
      <c r="G49" s="20"/>
    </row>
    <row r="50" spans="1:10" ht="43.35" customHeight="1" thickBot="1">
      <c r="A50" s="1084" t="s">
        <v>272</v>
      </c>
      <c r="B50" s="1084"/>
      <c r="C50" s="20"/>
      <c r="D50" s="20"/>
      <c r="E50" s="20"/>
      <c r="F50" s="20"/>
      <c r="G50" s="20"/>
      <c r="H50" s="20"/>
    </row>
    <row r="51" spans="1:10" ht="44.45" customHeight="1" thickBot="1">
      <c r="A51" s="371" t="s">
        <v>273</v>
      </c>
      <c r="B51" s="371" t="s">
        <v>274</v>
      </c>
      <c r="C51" s="1085" t="s">
        <v>275</v>
      </c>
      <c r="D51" s="1086"/>
      <c r="E51" s="1085" t="s">
        <v>276</v>
      </c>
      <c r="F51" s="1086"/>
      <c r="G51" s="20"/>
      <c r="H51" s="20"/>
    </row>
    <row r="52" spans="1:10" ht="24.95" customHeight="1" thickBot="1">
      <c r="A52" s="372"/>
      <c r="B52" s="373"/>
      <c r="C52" s="685"/>
      <c r="D52" s="686"/>
      <c r="E52" s="685"/>
      <c r="F52" s="686"/>
    </row>
    <row r="53" spans="1:10" ht="24.95" customHeight="1" thickBot="1">
      <c r="A53" s="378" t="s">
        <v>154</v>
      </c>
      <c r="B53" s="374"/>
      <c r="C53" s="687"/>
      <c r="D53" s="688"/>
      <c r="E53" s="687"/>
      <c r="F53" s="688"/>
    </row>
    <row r="54" spans="1:10" ht="24.95" customHeight="1">
      <c r="A54" s="845"/>
      <c r="B54" s="1143"/>
      <c r="C54" s="1145"/>
      <c r="D54" s="1146"/>
      <c r="E54" s="1145"/>
      <c r="F54" s="1146"/>
    </row>
    <row r="55" spans="1:10" ht="24.95" customHeight="1">
      <c r="A55" s="846" t="s">
        <v>785</v>
      </c>
      <c r="B55" s="839">
        <v>90000</v>
      </c>
      <c r="C55" s="1147" t="s">
        <v>787</v>
      </c>
      <c r="D55" s="1148"/>
      <c r="E55" s="1147" t="s">
        <v>788</v>
      </c>
      <c r="F55" s="1148"/>
      <c r="J55" s="109"/>
    </row>
    <row r="56" spans="1:10" ht="24.95" customHeight="1">
      <c r="A56" s="846" t="s">
        <v>789</v>
      </c>
      <c r="B56" s="839">
        <v>570813</v>
      </c>
      <c r="C56" s="1147" t="s">
        <v>787</v>
      </c>
      <c r="D56" s="1148"/>
      <c r="E56" s="1147" t="s">
        <v>788</v>
      </c>
      <c r="F56" s="1148"/>
      <c r="I56" s="149"/>
    </row>
    <row r="57" spans="1:10" ht="24.95" customHeight="1">
      <c r="A57" s="846"/>
      <c r="B57" s="839">
        <v>0</v>
      </c>
      <c r="C57" s="1147"/>
      <c r="D57" s="1148"/>
      <c r="E57" s="1147"/>
      <c r="F57" s="1148"/>
      <c r="I57" s="149"/>
    </row>
    <row r="58" spans="1:10" ht="24.95" customHeight="1">
      <c r="A58" s="846"/>
      <c r="B58" s="839">
        <v>0</v>
      </c>
      <c r="C58" s="1147"/>
      <c r="D58" s="1148"/>
      <c r="E58" s="1147"/>
      <c r="F58" s="1148"/>
      <c r="I58" s="149"/>
    </row>
    <row r="59" spans="1:10" ht="24.95" customHeight="1" thickBot="1">
      <c r="A59" s="739"/>
      <c r="B59" s="740">
        <v>0</v>
      </c>
      <c r="C59" s="1149"/>
      <c r="D59" s="1150"/>
      <c r="E59" s="1151"/>
      <c r="F59" s="1152"/>
      <c r="I59" s="149"/>
      <c r="J59" s="111"/>
    </row>
    <row r="60" spans="1:10" ht="24.95" customHeight="1" thickBot="1">
      <c r="A60" s="375" t="s">
        <v>277</v>
      </c>
      <c r="B60" s="376">
        <f>SUM(B54:B59)</f>
        <v>660813</v>
      </c>
      <c r="C60" s="1153"/>
      <c r="D60" s="1154"/>
      <c r="E60" s="1153"/>
      <c r="F60" s="1154"/>
      <c r="I60" s="422"/>
    </row>
    <row r="61" spans="1:10" ht="24.95" customHeight="1" thickBot="1">
      <c r="A61" s="377"/>
      <c r="B61" s="377"/>
      <c r="C61" s="689"/>
      <c r="D61" s="690"/>
      <c r="E61" s="689"/>
      <c r="F61" s="690"/>
      <c r="I61" s="149"/>
    </row>
    <row r="62" spans="1:10" ht="24.95" customHeight="1" thickBot="1">
      <c r="A62" s="378" t="s">
        <v>151</v>
      </c>
      <c r="B62" s="374"/>
      <c r="C62" s="687"/>
      <c r="D62" s="688"/>
      <c r="E62" s="687"/>
      <c r="F62" s="688"/>
      <c r="I62" s="149"/>
    </row>
    <row r="63" spans="1:10" ht="24.95" customHeight="1">
      <c r="A63" s="845"/>
      <c r="B63" s="1144"/>
      <c r="C63" s="1145"/>
      <c r="D63" s="1146"/>
      <c r="E63" s="1145"/>
      <c r="F63" s="1146"/>
      <c r="I63" s="149"/>
    </row>
    <row r="64" spans="1:10" ht="24.95" customHeight="1">
      <c r="A64" s="1249" t="s">
        <v>791</v>
      </c>
      <c r="B64" s="839">
        <v>1350000</v>
      </c>
      <c r="C64" s="1250" t="s">
        <v>790</v>
      </c>
      <c r="D64" s="1148"/>
      <c r="E64" s="1147" t="s">
        <v>786</v>
      </c>
      <c r="F64" s="1148"/>
      <c r="I64" s="149"/>
    </row>
    <row r="65" spans="1:9" ht="24.95" customHeight="1">
      <c r="A65" s="846"/>
      <c r="B65" s="839">
        <v>0</v>
      </c>
      <c r="C65" s="1147"/>
      <c r="D65" s="1148"/>
      <c r="E65" s="1147"/>
      <c r="F65" s="1148"/>
      <c r="I65" s="149"/>
    </row>
    <row r="66" spans="1:9" ht="24.95" customHeight="1">
      <c r="A66" s="846"/>
      <c r="B66" s="839">
        <v>0</v>
      </c>
      <c r="C66" s="1147"/>
      <c r="D66" s="1148"/>
      <c r="E66" s="1147"/>
      <c r="F66" s="1148"/>
      <c r="I66" s="149"/>
    </row>
    <row r="67" spans="1:9" ht="24.95" customHeight="1">
      <c r="A67" s="846"/>
      <c r="B67" s="839">
        <v>0</v>
      </c>
      <c r="C67" s="1147"/>
      <c r="D67" s="1148"/>
      <c r="E67" s="1147"/>
      <c r="F67" s="1148"/>
    </row>
    <row r="68" spans="1:9" ht="24.95" customHeight="1" thickBot="1">
      <c r="A68" s="739"/>
      <c r="B68" s="740">
        <v>0</v>
      </c>
      <c r="C68" s="1151"/>
      <c r="D68" s="1152"/>
      <c r="E68" s="1151"/>
      <c r="F68" s="1152"/>
    </row>
    <row r="69" spans="1:9" ht="24.95" customHeight="1" thickBot="1">
      <c r="A69" s="375" t="s">
        <v>278</v>
      </c>
      <c r="B69" s="376">
        <f>SUM(B63:B68)</f>
        <v>1350000</v>
      </c>
      <c r="C69" s="1155"/>
      <c r="D69" s="1156"/>
      <c r="E69" s="1155"/>
      <c r="F69" s="1156"/>
    </row>
    <row r="70" spans="1:9" ht="24.95" customHeight="1" thickBot="1">
      <c r="A70" s="375" t="s">
        <v>279</v>
      </c>
      <c r="B70" s="376">
        <f>+B69+B60</f>
        <v>2010813</v>
      </c>
      <c r="C70" s="1155"/>
      <c r="D70" s="1156"/>
      <c r="E70" s="1157"/>
      <c r="F70" s="1158"/>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2uPrDeRWRqAmLg3GrGefjyQB2lVaRhU7xLzI0SGe00XB/oLEvW9iKewnHvk9FHGHXoZXA16D4Dk3gzV2HSlk6w==" saltValue="CFKkkWZxa6nhgdTklBjq9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19" customWidth="1"/>
    <col min="2" max="2" width="100.42578125" style="219" customWidth="1"/>
    <col min="3" max="3" width="18.7109375" style="219" customWidth="1"/>
    <col min="4" max="4" width="25.7109375" style="219" customWidth="1"/>
    <col min="5" max="5" width="21.42578125" style="219" customWidth="1"/>
    <col min="6" max="6" width="6.85546875" style="219" customWidth="1"/>
    <col min="7" max="7" width="9.140625" style="219"/>
    <col min="8" max="8" width="59" style="219" customWidth="1"/>
    <col min="9" max="9" width="13.7109375" style="219" customWidth="1"/>
    <col min="10" max="10" width="12.7109375" style="219" bestFit="1" customWidth="1"/>
    <col min="11" max="11" width="14" style="219" customWidth="1"/>
    <col min="12" max="28" width="12.7109375" style="219" customWidth="1"/>
    <col min="29" max="29" width="11" style="219" customWidth="1"/>
    <col min="30" max="30" width="12.7109375" style="219" customWidth="1"/>
    <col min="31" max="31" width="12.42578125" style="219" customWidth="1"/>
    <col min="32" max="32" width="11.42578125" style="219" customWidth="1"/>
    <col min="33" max="33" width="2.28515625" style="219" customWidth="1"/>
    <col min="34" max="34" width="20.140625" style="219" customWidth="1"/>
    <col min="35" max="35" width="6" style="547" customWidth="1"/>
    <col min="36" max="36" width="14.42578125" style="219" customWidth="1"/>
    <col min="37" max="37" width="13.7109375" style="219" customWidth="1"/>
    <col min="38" max="38" width="2.140625" style="219" customWidth="1"/>
    <col min="39" max="40" width="9.140625" style="219"/>
    <col min="41" max="41" width="11.28515625" style="219" customWidth="1"/>
    <col min="42" max="42" width="11.42578125" style="219" customWidth="1"/>
    <col min="43" max="43" width="11" style="219" customWidth="1"/>
    <col min="44" max="44" width="11.140625" style="219" customWidth="1"/>
    <col min="45" max="16384" width="9.140625" style="219"/>
  </cols>
  <sheetData>
    <row r="1" spans="1:47" s="37" customFormat="1" ht="24" customHeight="1">
      <c r="A1" s="369"/>
      <c r="B1" s="369"/>
      <c r="C1" s="369"/>
      <c r="D1" s="369"/>
      <c r="E1" s="983" t="s">
        <v>280</v>
      </c>
      <c r="F1" s="369"/>
      <c r="AI1" s="24"/>
    </row>
    <row r="2" spans="1:47" s="37" customFormat="1" ht="24" customHeight="1">
      <c r="A2" s="369"/>
      <c r="B2" s="369"/>
      <c r="C2" s="369"/>
      <c r="D2" s="369"/>
      <c r="E2" s="369"/>
      <c r="F2" s="369"/>
      <c r="AI2" s="24"/>
    </row>
    <row r="3" spans="1:47" s="37" customFormat="1" ht="24" customHeight="1">
      <c r="A3" s="1075" t="s">
        <v>11</v>
      </c>
      <c r="B3" s="1075"/>
      <c r="C3" s="1075"/>
      <c r="D3" s="1075"/>
      <c r="E3" s="1075"/>
      <c r="F3" s="369"/>
    </row>
    <row r="4" spans="1:47" s="37" customFormat="1" ht="23.45" customHeight="1">
      <c r="A4" s="1075" t="s">
        <v>281</v>
      </c>
      <c r="B4" s="1075"/>
      <c r="C4" s="1075"/>
      <c r="D4" s="1075"/>
      <c r="E4" s="1075"/>
      <c r="F4" s="369"/>
    </row>
    <row r="5" spans="1:47" s="37" customFormat="1" ht="23.1" customHeight="1">
      <c r="A5" s="1074"/>
      <c r="B5" s="1074"/>
      <c r="C5" s="1074"/>
      <c r="D5" s="1074"/>
      <c r="E5" s="1074"/>
      <c r="F5" s="369"/>
    </row>
    <row r="6" spans="1:47" s="37" customFormat="1" ht="24.95" customHeight="1">
      <c r="A6" s="1078"/>
      <c r="B6" s="1078"/>
      <c r="C6" s="1078"/>
      <c r="D6" s="1078"/>
      <c r="E6" s="1078"/>
      <c r="F6" s="369"/>
    </row>
    <row r="7" spans="1:47" s="37" customFormat="1" ht="24.95" customHeight="1" thickBot="1">
      <c r="A7" s="1074" t="s">
        <v>232</v>
      </c>
      <c r="B7" s="1079" t="str">
        <f>'CHECK SHEET'!D7</f>
        <v>St. Petersburg College</v>
      </c>
      <c r="C7" s="1079"/>
      <c r="D7" s="1079"/>
      <c r="E7" s="1079"/>
      <c r="F7" s="989"/>
    </row>
    <row r="8" spans="1:47" s="37" customFormat="1" ht="24.95" customHeight="1">
      <c r="A8" s="1087"/>
      <c r="B8" s="1087"/>
      <c r="C8" s="1087"/>
      <c r="D8" s="1087"/>
      <c r="E8" s="1087"/>
    </row>
    <row r="9" spans="1:47" s="37" customFormat="1" ht="24.95" customHeight="1">
      <c r="A9" s="1088"/>
      <c r="B9" s="1089"/>
      <c r="C9" s="1089"/>
      <c r="D9" s="1089"/>
      <c r="E9" s="1089"/>
    </row>
    <row r="10" spans="1:47" s="37" customFormat="1" ht="42.6" customHeight="1">
      <c r="A10" s="1090" t="s">
        <v>282</v>
      </c>
      <c r="B10" s="1090"/>
      <c r="C10" s="1090"/>
      <c r="D10" s="1090"/>
      <c r="E10" s="1090"/>
    </row>
    <row r="11" spans="1:47" ht="24.95" customHeight="1" thickBot="1">
      <c r="A11" s="534"/>
      <c r="B11" s="534"/>
      <c r="C11" s="534"/>
      <c r="D11" s="534"/>
      <c r="E11" s="534"/>
      <c r="AI11" s="219"/>
      <c r="AT11" s="218"/>
      <c r="AU11" s="218"/>
    </row>
    <row r="12" spans="1:47" s="667" customFormat="1" ht="78" customHeight="1" thickBot="1">
      <c r="A12" s="535" t="s">
        <v>283</v>
      </c>
      <c r="B12" s="535" t="s">
        <v>235</v>
      </c>
      <c r="C12" s="536" t="s">
        <v>284</v>
      </c>
      <c r="D12" s="536" t="s">
        <v>285</v>
      </c>
      <c r="E12" s="536" t="s">
        <v>286</v>
      </c>
    </row>
    <row r="13" spans="1:47" ht="24" customHeight="1">
      <c r="A13" s="537" t="s">
        <v>214</v>
      </c>
      <c r="B13" s="537" t="s">
        <v>241</v>
      </c>
      <c r="C13" s="538">
        <v>40101</v>
      </c>
      <c r="D13" s="691">
        <v>0</v>
      </c>
      <c r="E13" s="691">
        <v>0</v>
      </c>
      <c r="AI13" s="219"/>
    </row>
    <row r="14" spans="1:47" ht="24.95" customHeight="1">
      <c r="A14" s="847" t="s">
        <v>214</v>
      </c>
      <c r="B14" s="847" t="s">
        <v>138</v>
      </c>
      <c r="C14" s="848" t="s">
        <v>242</v>
      </c>
      <c r="D14" s="561">
        <v>0</v>
      </c>
      <c r="E14" s="561">
        <v>0</v>
      </c>
      <c r="AI14" s="219"/>
    </row>
    <row r="15" spans="1:47" ht="24.95" customHeight="1">
      <c r="A15" s="847" t="s">
        <v>214</v>
      </c>
      <c r="B15" s="847" t="s">
        <v>139</v>
      </c>
      <c r="C15" s="848" t="s">
        <v>243</v>
      </c>
      <c r="D15" s="561">
        <v>0</v>
      </c>
      <c r="E15" s="561">
        <v>0</v>
      </c>
      <c r="AI15" s="219"/>
    </row>
    <row r="16" spans="1:47" ht="24.95" customHeight="1">
      <c r="A16" s="847" t="s">
        <v>214</v>
      </c>
      <c r="B16" s="847" t="s">
        <v>85</v>
      </c>
      <c r="C16" s="848" t="s">
        <v>244</v>
      </c>
      <c r="D16" s="561">
        <v>0</v>
      </c>
      <c r="E16" s="561">
        <v>0</v>
      </c>
      <c r="AI16" s="219"/>
    </row>
    <row r="17" spans="1:46" ht="24.95" customHeight="1">
      <c r="A17" s="847" t="s">
        <v>214</v>
      </c>
      <c r="B17" s="847" t="s">
        <v>140</v>
      </c>
      <c r="C17" s="848" t="s">
        <v>245</v>
      </c>
      <c r="D17" s="562">
        <v>0</v>
      </c>
      <c r="E17" s="562">
        <v>0</v>
      </c>
      <c r="AI17" s="219"/>
    </row>
    <row r="18" spans="1:46" ht="24.95" customHeight="1" thickBot="1">
      <c r="A18" s="847" t="s">
        <v>214</v>
      </c>
      <c r="B18" s="847" t="s">
        <v>141</v>
      </c>
      <c r="C18" s="848">
        <v>40160</v>
      </c>
      <c r="D18" s="563">
        <v>0</v>
      </c>
      <c r="E18" s="563">
        <v>0</v>
      </c>
      <c r="AI18" s="219"/>
    </row>
    <row r="19" spans="1:46" ht="24.95" customHeight="1" thickBot="1">
      <c r="A19" s="539"/>
      <c r="B19" s="608"/>
      <c r="C19" s="609"/>
      <c r="D19" s="1159"/>
      <c r="E19" s="1160"/>
      <c r="AI19" s="219"/>
    </row>
    <row r="20" spans="1:46" ht="24.95" customHeight="1" thickBot="1">
      <c r="A20" s="849"/>
      <c r="B20" s="850" t="s">
        <v>246</v>
      </c>
      <c r="C20" s="850"/>
      <c r="D20" s="850"/>
      <c r="E20" s="851">
        <f>SUM(E13:E18)</f>
        <v>0</v>
      </c>
      <c r="AI20" s="219"/>
    </row>
    <row r="21" spans="1:46" ht="78" customHeight="1" thickBot="1">
      <c r="A21" s="535" t="s">
        <v>283</v>
      </c>
      <c r="B21" s="535" t="s">
        <v>235</v>
      </c>
      <c r="C21" s="536" t="s">
        <v>284</v>
      </c>
      <c r="D21" s="536" t="s">
        <v>287</v>
      </c>
      <c r="E21" s="536" t="s">
        <v>286</v>
      </c>
      <c r="AI21" s="219"/>
    </row>
    <row r="22" spans="1:46" s="216" customFormat="1" ht="24.95" customHeight="1">
      <c r="A22" s="692" t="s">
        <v>229</v>
      </c>
      <c r="B22" s="610" t="s">
        <v>241</v>
      </c>
      <c r="C22" s="611">
        <v>40301</v>
      </c>
      <c r="D22" s="691">
        <v>0</v>
      </c>
      <c r="E22" s="691">
        <v>0</v>
      </c>
    </row>
    <row r="23" spans="1:46" s="216" customFormat="1" ht="24.95" customHeight="1">
      <c r="A23" s="847" t="s">
        <v>229</v>
      </c>
      <c r="B23" s="741" t="s">
        <v>138</v>
      </c>
      <c r="C23" s="758" t="s">
        <v>249</v>
      </c>
      <c r="D23" s="852">
        <v>0</v>
      </c>
      <c r="E23" s="852">
        <v>0</v>
      </c>
    </row>
    <row r="24" spans="1:46" s="216" customFormat="1" ht="24.95" customHeight="1">
      <c r="A24" s="847" t="s">
        <v>229</v>
      </c>
      <c r="B24" s="741" t="s">
        <v>139</v>
      </c>
      <c r="C24" s="758" t="s">
        <v>250</v>
      </c>
      <c r="D24" s="852">
        <v>0</v>
      </c>
      <c r="E24" s="852">
        <v>0</v>
      </c>
    </row>
    <row r="25" spans="1:46" s="216" customFormat="1" ht="24.95" customHeight="1">
      <c r="A25" s="847" t="s">
        <v>229</v>
      </c>
      <c r="B25" s="741" t="s">
        <v>85</v>
      </c>
      <c r="C25" s="758" t="s">
        <v>251</v>
      </c>
      <c r="D25" s="852">
        <v>0</v>
      </c>
      <c r="E25" s="852">
        <v>0</v>
      </c>
    </row>
    <row r="26" spans="1:46" s="216" customFormat="1" ht="24.95" customHeight="1">
      <c r="A26" s="847" t="s">
        <v>229</v>
      </c>
      <c r="B26" s="741" t="s">
        <v>140</v>
      </c>
      <c r="C26" s="758" t="s">
        <v>252</v>
      </c>
      <c r="D26" s="852">
        <v>0</v>
      </c>
      <c r="E26" s="852">
        <v>0</v>
      </c>
    </row>
    <row r="27" spans="1:46" s="216" customFormat="1" ht="24.95" customHeight="1" thickBot="1">
      <c r="A27" s="480" t="s">
        <v>229</v>
      </c>
      <c r="B27" s="610" t="s">
        <v>141</v>
      </c>
      <c r="C27" s="540">
        <v>40360</v>
      </c>
      <c r="D27" s="563">
        <v>0</v>
      </c>
      <c r="E27" s="564">
        <v>0</v>
      </c>
    </row>
    <row r="28" spans="1:46" ht="24.95" customHeight="1" thickBot="1">
      <c r="A28" s="612"/>
      <c r="B28" s="613"/>
      <c r="C28" s="612"/>
      <c r="D28" s="541"/>
      <c r="E28" s="614"/>
      <c r="AI28" s="219"/>
    </row>
    <row r="29" spans="1:46" ht="24.95" customHeight="1" thickBot="1">
      <c r="A29" s="693"/>
      <c r="B29" s="615" t="s">
        <v>246</v>
      </c>
      <c r="C29" s="542"/>
      <c r="D29" s="542"/>
      <c r="E29" s="616">
        <f>SUM(E22:E27)</f>
        <v>0</v>
      </c>
      <c r="AI29" s="219"/>
      <c r="AT29" s="543"/>
    </row>
    <row r="30" spans="1:46" ht="24.95" customHeight="1" thickBot="1">
      <c r="A30" s="542" t="s">
        <v>288</v>
      </c>
      <c r="B30" s="544"/>
      <c r="C30" s="545"/>
      <c r="D30" s="545"/>
      <c r="E30" s="546">
        <f>E20+E29</f>
        <v>0</v>
      </c>
      <c r="AI30" s="219"/>
    </row>
    <row r="31" spans="1:46" ht="24.95" customHeight="1">
      <c r="A31" s="533"/>
      <c r="B31" s="534"/>
      <c r="C31" s="534"/>
      <c r="D31" s="534"/>
      <c r="E31" s="534"/>
      <c r="AI31" s="219"/>
    </row>
    <row r="32" spans="1:46" ht="24.95" customHeight="1" thickBot="1">
      <c r="A32" s="600" t="s">
        <v>289</v>
      </c>
      <c r="B32" s="534"/>
      <c r="C32" s="534"/>
      <c r="D32" s="534"/>
      <c r="E32" s="534"/>
      <c r="AI32" s="219"/>
    </row>
    <row r="33" spans="1:46" ht="24.95" customHeight="1">
      <c r="A33" s="994"/>
      <c r="B33" s="995"/>
      <c r="C33" s="995"/>
      <c r="D33" s="995"/>
      <c r="E33" s="996"/>
      <c r="AI33" s="219"/>
    </row>
    <row r="34" spans="1:46" ht="24.95" customHeight="1">
      <c r="A34" s="997"/>
      <c r="B34" s="998"/>
      <c r="C34" s="998"/>
      <c r="D34" s="998"/>
      <c r="E34" s="999"/>
      <c r="AI34" s="219"/>
    </row>
    <row r="35" spans="1:46" s="543" customFormat="1" ht="24.95" customHeight="1">
      <c r="A35" s="997"/>
      <c r="B35" s="998"/>
      <c r="C35" s="998"/>
      <c r="D35" s="998"/>
      <c r="E35" s="99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row>
    <row r="36" spans="1:46" ht="24.95" customHeight="1">
      <c r="A36" s="997"/>
      <c r="B36" s="998"/>
      <c r="C36" s="998"/>
      <c r="D36" s="998"/>
      <c r="E36" s="999"/>
      <c r="AI36" s="219"/>
    </row>
    <row r="37" spans="1:46" ht="24.95" customHeight="1" thickBot="1">
      <c r="A37" s="1000"/>
      <c r="B37" s="1001"/>
      <c r="C37" s="1001"/>
      <c r="D37" s="1001"/>
      <c r="E37" s="1002"/>
      <c r="AI37" s="219"/>
    </row>
    <row r="38" spans="1:46" ht="20.25" customHeight="1">
      <c r="A38" s="218"/>
      <c r="B38" s="218"/>
      <c r="C38" s="218"/>
      <c r="D38" s="218"/>
      <c r="E38" s="218"/>
      <c r="AI38" s="219"/>
    </row>
    <row r="39" spans="1:46" ht="20.25" customHeight="1">
      <c r="AI39" s="219"/>
    </row>
    <row r="40" spans="1:46" ht="20.25" customHeight="1">
      <c r="AI40" s="219"/>
    </row>
    <row r="41" spans="1:46" ht="20.25" customHeight="1">
      <c r="AI41" s="219"/>
    </row>
    <row r="42" spans="1:46" ht="20.25" customHeight="1">
      <c r="AI42" s="219"/>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48"/>
      <c r="AI59" s="549"/>
    </row>
    <row r="60" spans="34:35" ht="20.25" customHeight="1">
      <c r="AH60" s="548"/>
      <c r="AI60" s="549"/>
    </row>
    <row r="61" spans="34:35" ht="20.25" customHeight="1">
      <c r="AH61" s="548"/>
    </row>
    <row r="62" spans="34:35" ht="20.25" customHeight="1"/>
    <row r="63" spans="34:35" ht="20.25" customHeight="1">
      <c r="AH63" s="548"/>
      <c r="AI63" s="549"/>
    </row>
    <row r="64" spans="34:35" ht="20.25" customHeight="1">
      <c r="AH64" s="548"/>
      <c r="AI64" s="549"/>
    </row>
    <row r="65" spans="1:35" ht="20.25" customHeight="1">
      <c r="A65" s="218"/>
      <c r="B65" s="218"/>
      <c r="C65" s="218"/>
      <c r="D65" s="218"/>
      <c r="E65" s="218"/>
      <c r="AH65" s="548"/>
      <c r="AI65" s="549"/>
    </row>
    <row r="66" spans="1:35" ht="20.25" customHeight="1">
      <c r="A66" s="218"/>
      <c r="B66" s="218"/>
      <c r="C66" s="218"/>
      <c r="D66" s="218"/>
      <c r="E66" s="218"/>
    </row>
    <row r="67" spans="1:35" ht="20.25" customHeight="1">
      <c r="A67" s="218"/>
      <c r="B67" s="218"/>
      <c r="C67" s="218"/>
      <c r="D67" s="218"/>
      <c r="E67" s="218"/>
      <c r="AH67" s="548"/>
    </row>
    <row r="68" spans="1:35" ht="20.25" customHeight="1">
      <c r="A68" s="218"/>
      <c r="B68" s="218"/>
      <c r="C68" s="218"/>
      <c r="D68" s="218"/>
      <c r="E68" s="218"/>
      <c r="AH68" s="548"/>
      <c r="AI68" s="549"/>
    </row>
    <row r="69" spans="1:35" ht="20.25" customHeight="1">
      <c r="AH69" s="548"/>
      <c r="AI69" s="549"/>
    </row>
    <row r="70" spans="1:35" ht="20.25" customHeight="1">
      <c r="AH70" s="548"/>
    </row>
    <row r="71" spans="1:35" ht="20.25" customHeight="1">
      <c r="AH71" s="548"/>
    </row>
    <row r="72" spans="1:35" ht="20.25" customHeight="1">
      <c r="AH72" s="548"/>
    </row>
    <row r="73" spans="1:35" ht="20.25" customHeight="1">
      <c r="AH73" s="548"/>
      <c r="AI73" s="549"/>
    </row>
    <row r="74" spans="1:35" ht="20.25" customHeight="1"/>
    <row r="75" spans="1:35" ht="20.25" customHeight="1">
      <c r="AH75" s="548"/>
    </row>
    <row r="76" spans="1:35" ht="20.25" customHeight="1">
      <c r="AH76" s="548"/>
      <c r="AI76" s="549"/>
    </row>
    <row r="77" spans="1:35" ht="20.25" customHeight="1">
      <c r="AH77" s="548"/>
      <c r="AI77" s="549"/>
    </row>
    <row r="78" spans="1:35" ht="20.25" customHeight="1">
      <c r="AH78" s="548"/>
      <c r="AI78" s="549"/>
    </row>
    <row r="79" spans="1:35" ht="20.25" customHeight="1">
      <c r="AH79" s="548"/>
      <c r="AI79" s="549"/>
    </row>
    <row r="80" spans="1:35" ht="20.25" customHeight="1">
      <c r="AH80" s="548"/>
    </row>
    <row r="81" spans="3:35" ht="20.25" customHeight="1">
      <c r="AH81" s="548"/>
      <c r="AI81" s="549"/>
    </row>
    <row r="82" spans="3:35" ht="20.25" customHeight="1">
      <c r="AH82" s="548"/>
      <c r="AI82" s="549"/>
    </row>
    <row r="83" spans="3:35" ht="20.25" customHeight="1">
      <c r="AH83" s="548"/>
      <c r="AI83" s="549"/>
    </row>
    <row r="84" spans="3:35" ht="20.25" customHeight="1"/>
    <row r="85" spans="3:35" ht="20.25" customHeight="1">
      <c r="AH85" s="548"/>
      <c r="AI85" s="549"/>
    </row>
    <row r="86" spans="3:35" ht="18" customHeight="1">
      <c r="AH86" s="548"/>
      <c r="AI86" s="549"/>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9">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9"/>
  <sheetViews>
    <sheetView showGridLines="0" zoomScale="70" zoomScaleNormal="70" zoomScaleSheetLayoutView="70" zoomScalePageLayoutView="70" workbookViewId="0">
      <selection activeCell="G282" sqref="G282"/>
    </sheetView>
  </sheetViews>
  <sheetFormatPr defaultColWidth="9.140625" defaultRowHeight="18.75"/>
  <cols>
    <col min="1" max="1" width="57" style="216" customWidth="1"/>
    <col min="2" max="2" width="1.42578125" style="216" customWidth="1"/>
    <col min="3" max="3" width="21.28515625" style="216" customWidth="1"/>
    <col min="4" max="4" width="9.140625" style="216"/>
    <col min="5" max="5" width="49.42578125" style="216" customWidth="1"/>
    <col min="6" max="6" width="17" style="216" customWidth="1"/>
    <col min="7" max="7" width="25.42578125" style="216" customWidth="1"/>
    <col min="8" max="8" width="1.85546875" style="216" customWidth="1"/>
    <col min="9" max="9" width="11.7109375" style="216" bestFit="1" customWidth="1"/>
    <col min="10" max="10" width="15.42578125" style="216" bestFit="1" customWidth="1"/>
    <col min="11" max="16384" width="9.140625" style="216"/>
  </cols>
  <sheetData>
    <row r="1" spans="1:8" ht="26.25">
      <c r="A1" s="1091"/>
      <c r="B1" s="1091"/>
      <c r="C1" s="1091"/>
      <c r="D1" s="1091"/>
      <c r="E1" s="1091"/>
      <c r="F1" s="1091"/>
      <c r="G1" s="1092"/>
    </row>
    <row r="2" spans="1:8" ht="30" customHeight="1" thickBot="1">
      <c r="A2" s="1092" t="s">
        <v>192</v>
      </c>
      <c r="B2" s="1079" t="str">
        <f>'CHECK SHEET'!D7</f>
        <v>St. Petersburg College</v>
      </c>
      <c r="C2" s="1079"/>
      <c r="D2" s="1079"/>
      <c r="E2" s="1079"/>
      <c r="F2" s="1079"/>
      <c r="G2" s="1093"/>
    </row>
    <row r="3" spans="1:8" ht="23.1" customHeight="1">
      <c r="A3" s="1075" t="s">
        <v>290</v>
      </c>
      <c r="B3" s="1075"/>
      <c r="C3" s="1075"/>
      <c r="D3" s="1075"/>
      <c r="E3" s="1075"/>
      <c r="F3" s="1075"/>
      <c r="G3" s="1075"/>
    </row>
    <row r="4" spans="1:8" ht="23.45" customHeight="1">
      <c r="A4" s="1075" t="s">
        <v>291</v>
      </c>
      <c r="B4" s="1075"/>
      <c r="C4" s="1075"/>
      <c r="D4" s="1075"/>
      <c r="E4" s="1075"/>
      <c r="F4" s="1075"/>
      <c r="G4" s="1075"/>
    </row>
    <row r="5" spans="1:8" ht="23.45" customHeight="1">
      <c r="A5" s="1075" t="s">
        <v>772</v>
      </c>
      <c r="B5" s="1075"/>
      <c r="C5" s="1075"/>
      <c r="D5" s="1075"/>
      <c r="E5" s="1075"/>
      <c r="F5" s="1075"/>
      <c r="G5" s="1075"/>
    </row>
    <row r="6" spans="1:8" ht="20.100000000000001" customHeight="1">
      <c r="A6" s="1094"/>
      <c r="B6" s="1094"/>
      <c r="C6" s="1094"/>
      <c r="D6" s="1094"/>
      <c r="E6" s="1094"/>
      <c r="F6" s="1094"/>
      <c r="G6" s="1094"/>
    </row>
    <row r="7" spans="1:8" ht="38.450000000000003" customHeight="1">
      <c r="A7" s="1095" t="s">
        <v>292</v>
      </c>
      <c r="B7" s="1095"/>
      <c r="C7" s="1095"/>
      <c r="D7" s="1095"/>
      <c r="E7" s="1095"/>
      <c r="F7" s="1095"/>
      <c r="G7" s="1095"/>
      <c r="H7" s="226"/>
    </row>
    <row r="8" spans="1:8" ht="20.100000000000001" customHeight="1">
      <c r="A8" s="225"/>
      <c r="B8" s="225"/>
      <c r="C8" s="225"/>
      <c r="D8" s="225"/>
      <c r="E8" s="225"/>
      <c r="F8" s="225"/>
      <c r="G8" s="225"/>
      <c r="H8" s="660"/>
    </row>
    <row r="9" spans="1:8" ht="76.349999999999994" customHeight="1">
      <c r="A9" s="640" t="s">
        <v>293</v>
      </c>
      <c r="B9" s="641" t="s">
        <v>294</v>
      </c>
      <c r="C9" s="641"/>
      <c r="D9" s="641"/>
      <c r="E9" s="641"/>
      <c r="F9" s="642" t="s">
        <v>284</v>
      </c>
      <c r="G9" s="643" t="s">
        <v>295</v>
      </c>
      <c r="H9" s="220"/>
    </row>
    <row r="10" spans="1:8" ht="20.100000000000001" customHeight="1">
      <c r="A10" s="661" t="s">
        <v>234</v>
      </c>
      <c r="B10" s="662"/>
      <c r="C10" s="662"/>
      <c r="D10" s="662"/>
      <c r="E10" s="662"/>
      <c r="F10" s="663"/>
      <c r="G10" s="664"/>
      <c r="H10" s="220"/>
    </row>
    <row r="11" spans="1:8" ht="20.100000000000001" customHeight="1">
      <c r="A11" s="620"/>
      <c r="B11" s="227"/>
      <c r="C11" s="227"/>
      <c r="D11" s="227"/>
      <c r="E11" s="227"/>
      <c r="F11" s="228"/>
      <c r="G11" s="229"/>
      <c r="H11" s="220"/>
    </row>
    <row r="12" spans="1:8" ht="20.100000000000001" customHeight="1">
      <c r="A12" s="621" t="s">
        <v>214</v>
      </c>
      <c r="B12" s="230"/>
      <c r="C12" s="230" t="s">
        <v>241</v>
      </c>
      <c r="D12" s="230"/>
      <c r="E12" s="230"/>
      <c r="F12" s="231">
        <v>40101</v>
      </c>
      <c r="G12" s="232">
        <f>+'EXHIBIT C'!H10+'EXHIBIT C(2)'!E13</f>
        <v>7560877</v>
      </c>
      <c r="H12" s="220"/>
    </row>
    <row r="13" spans="1:8" ht="20.100000000000001" customHeight="1">
      <c r="A13" s="620" t="s">
        <v>214</v>
      </c>
      <c r="B13" s="227"/>
      <c r="C13" s="220" t="s">
        <v>138</v>
      </c>
      <c r="D13" s="227"/>
      <c r="E13" s="227"/>
      <c r="F13" s="233" t="s">
        <v>242</v>
      </c>
      <c r="G13" s="232">
        <f>+'EXHIBIT C'!H11+'EXHIBIT C(2)'!E14</f>
        <v>21185621</v>
      </c>
      <c r="H13" s="220"/>
    </row>
    <row r="14" spans="1:8" ht="20.100000000000001" customHeight="1">
      <c r="A14" s="620" t="s">
        <v>214</v>
      </c>
      <c r="B14" s="227"/>
      <c r="C14" s="227" t="s">
        <v>139</v>
      </c>
      <c r="D14" s="227"/>
      <c r="E14" s="227"/>
      <c r="F14" s="233" t="s">
        <v>243</v>
      </c>
      <c r="G14" s="644">
        <f>+'EXHIBIT C'!H12+'EXHIBIT C(2)'!E15</f>
        <v>9993180</v>
      </c>
      <c r="H14" s="220"/>
    </row>
    <row r="15" spans="1:8" ht="20.100000000000001" customHeight="1">
      <c r="A15" s="620" t="s">
        <v>214</v>
      </c>
      <c r="B15" s="227"/>
      <c r="C15" s="234" t="s">
        <v>296</v>
      </c>
      <c r="D15" s="227"/>
      <c r="E15" s="227"/>
      <c r="F15" s="233" t="s">
        <v>244</v>
      </c>
      <c r="G15" s="644">
        <f>+'EXHIBIT C'!H13+'EXHIBIT C(2)'!E16</f>
        <v>428500</v>
      </c>
      <c r="H15" s="220"/>
    </row>
    <row r="16" spans="1:8" ht="20.100000000000001" customHeight="1">
      <c r="A16" s="620" t="s">
        <v>214</v>
      </c>
      <c r="B16" s="227"/>
      <c r="C16" s="234" t="s">
        <v>297</v>
      </c>
      <c r="D16" s="227"/>
      <c r="E16" s="227"/>
      <c r="F16" s="233" t="s">
        <v>245</v>
      </c>
      <c r="G16" s="645">
        <f>+'EXHIBIT C'!H14+'EXHIBIT C(2)'!E17</f>
        <v>1228093</v>
      </c>
      <c r="H16" s="220"/>
    </row>
    <row r="17" spans="1:8" ht="20.100000000000001" customHeight="1">
      <c r="A17" s="620" t="s">
        <v>214</v>
      </c>
      <c r="B17" s="227"/>
      <c r="C17" s="220" t="s">
        <v>141</v>
      </c>
      <c r="D17" s="227"/>
      <c r="E17" s="227"/>
      <c r="F17" s="236">
        <v>40160</v>
      </c>
      <c r="G17" s="645">
        <f>+'EXHIBIT C'!H15+'EXHIBIT C(2)'!E18</f>
        <v>0</v>
      </c>
      <c r="H17" s="220"/>
    </row>
    <row r="18" spans="1:8" ht="20.100000000000001" customHeight="1">
      <c r="A18" s="620"/>
      <c r="B18" s="227"/>
      <c r="C18" s="227"/>
      <c r="D18" s="227"/>
      <c r="E18" s="227"/>
      <c r="F18" s="233"/>
      <c r="G18" s="235"/>
      <c r="H18" s="220"/>
    </row>
    <row r="19" spans="1:8" ht="20.100000000000001" customHeight="1">
      <c r="A19" s="622" t="s">
        <v>298</v>
      </c>
      <c r="B19" s="227"/>
      <c r="C19" s="227"/>
      <c r="D19" s="227"/>
      <c r="E19" s="227"/>
      <c r="F19" s="233"/>
      <c r="G19" s="853">
        <f>SUM(G12:G17)</f>
        <v>40396271</v>
      </c>
      <c r="H19" s="220"/>
    </row>
    <row r="20" spans="1:8" ht="20.100000000000001" customHeight="1">
      <c r="A20" s="620"/>
      <c r="B20" s="227"/>
      <c r="C20" s="227"/>
      <c r="D20" s="227"/>
      <c r="E20" s="227"/>
      <c r="F20" s="233"/>
      <c r="G20" s="237"/>
      <c r="H20" s="220"/>
    </row>
    <row r="21" spans="1:8" ht="20.100000000000001" customHeight="1">
      <c r="A21" s="621" t="s">
        <v>229</v>
      </c>
      <c r="B21" s="230"/>
      <c r="C21" s="230" t="s">
        <v>241</v>
      </c>
      <c r="D21" s="230"/>
      <c r="E21" s="230"/>
      <c r="F21" s="231">
        <v>40301</v>
      </c>
      <c r="G21" s="238">
        <f>+'EXHIBIT C'!F19+'EXHIBIT C(2)'!E22</f>
        <v>473634</v>
      </c>
      <c r="H21" s="657"/>
    </row>
    <row r="22" spans="1:8" ht="20.100000000000001" customHeight="1">
      <c r="A22" s="621" t="s">
        <v>229</v>
      </c>
      <c r="B22" s="227"/>
      <c r="C22" s="220" t="s">
        <v>138</v>
      </c>
      <c r="D22" s="227"/>
      <c r="E22" s="227"/>
      <c r="F22" s="233" t="s">
        <v>249</v>
      </c>
      <c r="G22" s="238">
        <f>+'EXHIBIT C'!F20+'EXHIBIT C(2)'!E23</f>
        <v>2740928</v>
      </c>
      <c r="H22" s="220"/>
    </row>
    <row r="23" spans="1:8" ht="20.100000000000001" customHeight="1">
      <c r="A23" s="621" t="s">
        <v>229</v>
      </c>
      <c r="B23" s="227"/>
      <c r="C23" s="227" t="s">
        <v>139</v>
      </c>
      <c r="D23" s="227"/>
      <c r="E23" s="227"/>
      <c r="F23" s="233" t="s">
        <v>250</v>
      </c>
      <c r="G23" s="243">
        <f>+'EXHIBIT C'!F21+'EXHIBIT C(2)'!E24</f>
        <v>1122437</v>
      </c>
      <c r="H23" s="220"/>
    </row>
    <row r="24" spans="1:8" ht="20.100000000000001" customHeight="1">
      <c r="A24" s="621" t="s">
        <v>229</v>
      </c>
      <c r="B24" s="227"/>
      <c r="C24" s="234" t="s">
        <v>296</v>
      </c>
      <c r="D24" s="227"/>
      <c r="E24" s="227"/>
      <c r="F24" s="233" t="s">
        <v>251</v>
      </c>
      <c r="G24" s="243">
        <f>+'EXHIBIT C'!F22+'EXHIBIT C(2)'!E25</f>
        <v>21500</v>
      </c>
      <c r="H24" s="220"/>
    </row>
    <row r="25" spans="1:8" ht="20.100000000000001" customHeight="1">
      <c r="A25" s="621" t="s">
        <v>229</v>
      </c>
      <c r="B25" s="227"/>
      <c r="C25" s="234" t="s">
        <v>297</v>
      </c>
      <c r="D25" s="227"/>
      <c r="E25" s="227"/>
      <c r="F25" s="233" t="s">
        <v>252</v>
      </c>
      <c r="G25" s="243">
        <f>+'EXHIBIT C'!F23+'EXHIBIT C(2)'!E26</f>
        <v>314614</v>
      </c>
      <c r="H25" s="220"/>
    </row>
    <row r="26" spans="1:8" ht="20.100000000000001" customHeight="1">
      <c r="A26" s="621" t="s">
        <v>229</v>
      </c>
      <c r="B26" s="227"/>
      <c r="C26" s="220" t="s">
        <v>141</v>
      </c>
      <c r="D26" s="227"/>
      <c r="E26" s="227"/>
      <c r="F26" s="236">
        <v>40360</v>
      </c>
      <c r="G26" s="243">
        <f>+'EXHIBIT C'!F24+'EXHIBIT C(2)'!E27</f>
        <v>0</v>
      </c>
      <c r="H26" s="220"/>
    </row>
    <row r="27" spans="1:8" ht="20.100000000000001" customHeight="1">
      <c r="A27" s="620"/>
      <c r="B27" s="227"/>
      <c r="C27" s="227"/>
      <c r="D27" s="227"/>
      <c r="E27" s="227"/>
      <c r="F27" s="233"/>
      <c r="G27" s="239"/>
      <c r="H27" s="220"/>
    </row>
    <row r="28" spans="1:8" ht="20.100000000000001" customHeight="1">
      <c r="A28" s="622" t="s">
        <v>299</v>
      </c>
      <c r="B28" s="227"/>
      <c r="C28" s="227"/>
      <c r="D28" s="227"/>
      <c r="E28" s="227"/>
      <c r="F28" s="233"/>
      <c r="G28" s="854">
        <f>SUM(G21:G26)</f>
        <v>4673113</v>
      </c>
      <c r="H28" s="220"/>
    </row>
    <row r="29" spans="1:8" ht="20.100000000000001" customHeight="1">
      <c r="A29" s="620"/>
      <c r="B29" s="227"/>
      <c r="C29" s="227"/>
      <c r="D29" s="227"/>
      <c r="E29" s="227"/>
      <c r="F29" s="233"/>
      <c r="G29" s="240"/>
      <c r="H29" s="220"/>
    </row>
    <row r="30" spans="1:8" ht="20.100000000000001" customHeight="1">
      <c r="A30" s="620" t="s">
        <v>300</v>
      </c>
      <c r="B30" s="227"/>
      <c r="C30" s="1004" t="s">
        <v>260</v>
      </c>
      <c r="D30" s="1004"/>
      <c r="E30" s="1004"/>
      <c r="F30" s="233" t="s">
        <v>261</v>
      </c>
      <c r="G30" s="241">
        <f>'EXHIBIT C'!H32</f>
        <v>0</v>
      </c>
      <c r="H30" s="220"/>
    </row>
    <row r="31" spans="1:8" ht="20.100000000000001" customHeight="1">
      <c r="A31" s="620" t="s">
        <v>300</v>
      </c>
      <c r="B31" s="227"/>
      <c r="C31" s="220" t="s">
        <v>262</v>
      </c>
      <c r="D31" s="227"/>
      <c r="E31" s="227"/>
      <c r="F31" s="233" t="s">
        <v>263</v>
      </c>
      <c r="G31" s="241">
        <f>'EXHIBIT C'!H33</f>
        <v>0</v>
      </c>
      <c r="H31" s="220"/>
    </row>
    <row r="32" spans="1:8" ht="20.100000000000001" customHeight="1">
      <c r="A32" s="620" t="s">
        <v>301</v>
      </c>
      <c r="B32" s="227"/>
      <c r="C32" s="227" t="s">
        <v>260</v>
      </c>
      <c r="D32" s="227"/>
      <c r="E32" s="227"/>
      <c r="F32" s="233" t="s">
        <v>261</v>
      </c>
      <c r="G32" s="241">
        <f>'EXHIBIT C'!H34</f>
        <v>0</v>
      </c>
      <c r="H32" s="220"/>
    </row>
    <row r="33" spans="1:8" ht="20.100000000000001" customHeight="1">
      <c r="A33" s="620" t="s">
        <v>301</v>
      </c>
      <c r="B33" s="227"/>
      <c r="C33" s="220" t="s">
        <v>262</v>
      </c>
      <c r="D33" s="227"/>
      <c r="E33" s="227"/>
      <c r="F33" s="233" t="s">
        <v>263</v>
      </c>
      <c r="G33" s="241">
        <f>'EXHIBIT C'!H35</f>
        <v>0</v>
      </c>
      <c r="H33" s="220"/>
    </row>
    <row r="34" spans="1:8" ht="20.100000000000001" customHeight="1">
      <c r="A34" s="620"/>
      <c r="B34" s="227"/>
      <c r="C34" s="227"/>
      <c r="D34" s="227"/>
      <c r="E34" s="227"/>
      <c r="F34" s="233"/>
      <c r="G34" s="242"/>
      <c r="H34" s="220"/>
    </row>
    <row r="35" spans="1:8" ht="20.100000000000001" customHeight="1">
      <c r="A35" s="622" t="s">
        <v>302</v>
      </c>
      <c r="B35" s="227"/>
      <c r="C35" s="227"/>
      <c r="D35" s="227"/>
      <c r="E35" s="227"/>
      <c r="F35" s="233"/>
      <c r="G35" s="854">
        <f>SUM(G30:G33)</f>
        <v>0</v>
      </c>
      <c r="H35" s="220"/>
    </row>
    <row r="36" spans="1:8" ht="20.100000000000001" customHeight="1">
      <c r="A36" s="620"/>
      <c r="B36" s="227"/>
      <c r="C36" s="227"/>
      <c r="D36" s="227"/>
      <c r="E36" s="227"/>
      <c r="F36" s="233"/>
      <c r="G36" s="239"/>
      <c r="H36" s="220"/>
    </row>
    <row r="37" spans="1:8" ht="20.100000000000001" customHeight="1">
      <c r="A37" s="620" t="s">
        <v>303</v>
      </c>
      <c r="B37" s="227"/>
      <c r="C37" s="227" t="s">
        <v>260</v>
      </c>
      <c r="D37" s="227"/>
      <c r="E37" s="227"/>
      <c r="F37" s="233" t="s">
        <v>267</v>
      </c>
      <c r="G37" s="243">
        <f>'EXHIBIT C'!F39</f>
        <v>0</v>
      </c>
      <c r="H37" s="220"/>
    </row>
    <row r="38" spans="1:8" ht="20.100000000000001" customHeight="1">
      <c r="A38" s="620" t="s">
        <v>303</v>
      </c>
      <c r="B38" s="227"/>
      <c r="C38" s="1005" t="s">
        <v>262</v>
      </c>
      <c r="D38" s="1005"/>
      <c r="E38" s="1005"/>
      <c r="F38" s="233" t="s">
        <v>268</v>
      </c>
      <c r="G38" s="243">
        <f>'EXHIBIT C'!F40</f>
        <v>0</v>
      </c>
      <c r="H38" s="220"/>
    </row>
    <row r="39" spans="1:8" ht="20.100000000000001" customHeight="1">
      <c r="A39" s="620" t="s">
        <v>304</v>
      </c>
      <c r="B39" s="227"/>
      <c r="C39" s="227" t="s">
        <v>260</v>
      </c>
      <c r="D39" s="227"/>
      <c r="E39" s="227"/>
      <c r="F39" s="233" t="s">
        <v>267</v>
      </c>
      <c r="G39" s="243">
        <f>'EXHIBIT C'!F41</f>
        <v>0</v>
      </c>
      <c r="H39" s="220"/>
    </row>
    <row r="40" spans="1:8" ht="20.100000000000001" customHeight="1">
      <c r="A40" s="620" t="s">
        <v>304</v>
      </c>
      <c r="B40" s="227"/>
      <c r="C40" s="1005" t="s">
        <v>262</v>
      </c>
      <c r="D40" s="1005"/>
      <c r="E40" s="1005"/>
      <c r="F40" s="233" t="s">
        <v>268</v>
      </c>
      <c r="G40" s="243">
        <f>'EXHIBIT C'!F42</f>
        <v>0</v>
      </c>
      <c r="H40" s="220"/>
    </row>
    <row r="41" spans="1:8" ht="20.100000000000001" customHeight="1">
      <c r="A41" s="620"/>
      <c r="B41" s="227"/>
      <c r="C41" s="227"/>
      <c r="D41" s="227"/>
      <c r="E41" s="227"/>
      <c r="F41" s="233"/>
      <c r="G41" s="239"/>
      <c r="H41" s="220"/>
    </row>
    <row r="42" spans="1:8" ht="20.100000000000001" customHeight="1">
      <c r="A42" s="622" t="s">
        <v>305</v>
      </c>
      <c r="B42" s="227"/>
      <c r="C42" s="227"/>
      <c r="D42" s="227"/>
      <c r="E42" s="227"/>
      <c r="F42" s="233"/>
      <c r="G42" s="854">
        <f>SUM(G37:G41)</f>
        <v>0</v>
      </c>
      <c r="H42" s="220"/>
    </row>
    <row r="43" spans="1:8" ht="20.100000000000001" customHeight="1">
      <c r="A43" s="620"/>
      <c r="B43" s="227"/>
      <c r="C43" s="227"/>
      <c r="D43" s="227"/>
      <c r="E43" s="227"/>
      <c r="F43" s="233"/>
      <c r="G43" s="240"/>
      <c r="H43" s="220"/>
    </row>
    <row r="44" spans="1:8" ht="20.100000000000001" customHeight="1">
      <c r="A44" s="622" t="s">
        <v>306</v>
      </c>
      <c r="B44" s="227"/>
      <c r="C44" s="227"/>
      <c r="D44" s="227"/>
      <c r="E44" s="227"/>
      <c r="F44" s="233"/>
      <c r="G44" s="855">
        <f>G19+G28+G35+G42</f>
        <v>45069384</v>
      </c>
      <c r="H44" s="220"/>
    </row>
    <row r="45" spans="1:8" ht="20.100000000000001" customHeight="1">
      <c r="A45" s="620"/>
      <c r="B45" s="227"/>
      <c r="C45" s="227"/>
      <c r="D45" s="227"/>
      <c r="E45" s="227"/>
      <c r="F45" s="233"/>
      <c r="G45" s="239"/>
      <c r="H45" s="220"/>
    </row>
    <row r="46" spans="1:8" ht="20.100000000000001" customHeight="1">
      <c r="A46" s="620" t="s">
        <v>307</v>
      </c>
      <c r="B46" s="227"/>
      <c r="C46" s="227"/>
      <c r="D46" s="227"/>
      <c r="E46" s="227"/>
      <c r="F46" s="233" t="s">
        <v>308</v>
      </c>
      <c r="G46" s="565">
        <f>20000+10000</f>
        <v>30000</v>
      </c>
      <c r="H46" s="220"/>
    </row>
    <row r="47" spans="1:8" ht="20.100000000000001" customHeight="1">
      <c r="A47" s="620" t="s">
        <v>309</v>
      </c>
      <c r="B47" s="244"/>
      <c r="C47" s="244"/>
      <c r="D47" s="244"/>
      <c r="E47" s="244"/>
      <c r="F47" s="245" t="s">
        <v>310</v>
      </c>
      <c r="G47" s="565">
        <v>1825888</v>
      </c>
      <c r="H47" s="657"/>
    </row>
    <row r="48" spans="1:8" ht="20.100000000000001" customHeight="1">
      <c r="A48" s="620" t="s">
        <v>311</v>
      </c>
      <c r="B48" s="220"/>
      <c r="C48" s="244"/>
      <c r="D48" s="244"/>
      <c r="E48" s="244"/>
      <c r="F48" s="245" t="s">
        <v>312</v>
      </c>
      <c r="G48" s="565">
        <v>0</v>
      </c>
      <c r="H48" s="657"/>
    </row>
    <row r="49" spans="1:8" ht="20.100000000000001" customHeight="1">
      <c r="A49" s="620" t="s">
        <v>313</v>
      </c>
      <c r="B49" s="227"/>
      <c r="C49" s="227"/>
      <c r="D49" s="227"/>
      <c r="E49" s="227"/>
      <c r="F49" s="246" t="s">
        <v>314</v>
      </c>
      <c r="G49" s="565">
        <v>0</v>
      </c>
      <c r="H49" s="220"/>
    </row>
    <row r="50" spans="1:8" ht="20.100000000000001" customHeight="1">
      <c r="A50" s="620" t="s">
        <v>315</v>
      </c>
      <c r="B50" s="227"/>
      <c r="C50" s="227"/>
      <c r="D50" s="227"/>
      <c r="E50" s="227"/>
      <c r="F50" s="246" t="s">
        <v>316</v>
      </c>
      <c r="G50" s="565">
        <v>3088292</v>
      </c>
      <c r="H50" s="220"/>
    </row>
    <row r="51" spans="1:8" ht="20.100000000000001" customHeight="1">
      <c r="A51" s="620" t="s">
        <v>317</v>
      </c>
      <c r="B51" s="227"/>
      <c r="C51" s="227"/>
      <c r="D51" s="227"/>
      <c r="E51" s="227"/>
      <c r="F51" s="231">
        <v>40450</v>
      </c>
      <c r="G51" s="565">
        <v>4634745</v>
      </c>
      <c r="H51" s="220"/>
    </row>
    <row r="52" spans="1:8" ht="20.100000000000001" customHeight="1">
      <c r="A52" s="620" t="s">
        <v>318</v>
      </c>
      <c r="B52" s="227"/>
      <c r="C52" s="227"/>
      <c r="D52" s="227"/>
      <c r="E52" s="227"/>
      <c r="F52" s="246" t="s">
        <v>319</v>
      </c>
      <c r="G52" s="565">
        <v>520500</v>
      </c>
      <c r="H52" s="220"/>
    </row>
    <row r="53" spans="1:8" ht="20.100000000000001" customHeight="1">
      <c r="A53" s="621" t="s">
        <v>320</v>
      </c>
      <c r="B53" s="230"/>
      <c r="C53" s="230"/>
      <c r="D53" s="230"/>
      <c r="E53" s="230"/>
      <c r="F53" s="245" t="s">
        <v>321</v>
      </c>
      <c r="G53" s="565">
        <v>0</v>
      </c>
      <c r="H53" s="220"/>
    </row>
    <row r="54" spans="1:8" ht="20.100000000000001" customHeight="1">
      <c r="A54" s="621" t="s">
        <v>322</v>
      </c>
      <c r="B54" s="230"/>
      <c r="C54" s="230"/>
      <c r="D54" s="230"/>
      <c r="E54" s="230"/>
      <c r="F54" s="246" t="s">
        <v>323</v>
      </c>
      <c r="G54" s="565">
        <v>0</v>
      </c>
      <c r="H54" s="220"/>
    </row>
    <row r="55" spans="1:8" ht="20.100000000000001" customHeight="1">
      <c r="A55" s="621" t="s">
        <v>324</v>
      </c>
      <c r="B55" s="230"/>
      <c r="C55" s="230"/>
      <c r="D55" s="230"/>
      <c r="E55" s="230"/>
      <c r="F55" s="245" t="s">
        <v>325</v>
      </c>
      <c r="G55" s="565">
        <v>0</v>
      </c>
      <c r="H55" s="220"/>
    </row>
    <row r="56" spans="1:8" ht="20.100000000000001" customHeight="1">
      <c r="A56" s="621" t="s">
        <v>326</v>
      </c>
      <c r="B56" s="230"/>
      <c r="C56" s="230"/>
      <c r="D56" s="230"/>
      <c r="E56" s="230"/>
      <c r="F56" s="246" t="s">
        <v>327</v>
      </c>
      <c r="G56" s="565">
        <v>96500</v>
      </c>
      <c r="H56" s="220"/>
    </row>
    <row r="57" spans="1:8" ht="20.100000000000001" customHeight="1">
      <c r="A57" s="621" t="s">
        <v>328</v>
      </c>
      <c r="B57" s="230"/>
      <c r="C57" s="230"/>
      <c r="D57" s="230"/>
      <c r="E57" s="230"/>
      <c r="F57" s="246" t="s">
        <v>329</v>
      </c>
      <c r="G57" s="565">
        <v>0</v>
      </c>
      <c r="H57" s="220"/>
    </row>
    <row r="58" spans="1:8" ht="20.100000000000001" customHeight="1">
      <c r="A58" s="621" t="s">
        <v>330</v>
      </c>
      <c r="B58" s="230"/>
      <c r="C58" s="230"/>
      <c r="D58" s="230"/>
      <c r="E58" s="230"/>
      <c r="F58" s="247" t="s">
        <v>331</v>
      </c>
      <c r="G58" s="565">
        <v>2304613</v>
      </c>
      <c r="H58" s="220"/>
    </row>
    <row r="59" spans="1:8" ht="20.100000000000001" customHeight="1">
      <c r="A59" s="621" t="s">
        <v>332</v>
      </c>
      <c r="B59" s="230"/>
      <c r="C59" s="230"/>
      <c r="D59" s="230"/>
      <c r="E59" s="230"/>
      <c r="F59" s="246" t="s">
        <v>333</v>
      </c>
      <c r="G59" s="565">
        <v>181868</v>
      </c>
      <c r="H59" s="220"/>
    </row>
    <row r="60" spans="1:8" ht="20.100000000000001" customHeight="1">
      <c r="A60" s="621" t="s">
        <v>334</v>
      </c>
      <c r="B60" s="230"/>
      <c r="C60" s="230"/>
      <c r="D60" s="230"/>
      <c r="E60" s="230"/>
      <c r="F60" s="245" t="s">
        <v>335</v>
      </c>
      <c r="G60" s="565">
        <v>0</v>
      </c>
      <c r="H60" s="220"/>
    </row>
    <row r="61" spans="1:8" ht="20.100000000000001" customHeight="1">
      <c r="A61" s="621" t="s">
        <v>336</v>
      </c>
      <c r="B61" s="230"/>
      <c r="C61" s="230"/>
      <c r="D61" s="230"/>
      <c r="E61" s="230"/>
      <c r="F61" s="245" t="s">
        <v>337</v>
      </c>
      <c r="G61" s="565">
        <v>0</v>
      </c>
      <c r="H61" s="220"/>
    </row>
    <row r="62" spans="1:8" ht="20.100000000000001" customHeight="1">
      <c r="A62" s="620"/>
      <c r="B62" s="227"/>
      <c r="C62" s="227"/>
      <c r="D62" s="227"/>
      <c r="E62" s="227"/>
      <c r="F62" s="233"/>
      <c r="G62" s="856"/>
      <c r="H62" s="220"/>
    </row>
    <row r="63" spans="1:8" ht="20.100000000000001" customHeight="1">
      <c r="A63" s="622" t="s">
        <v>338</v>
      </c>
      <c r="B63" s="227"/>
      <c r="C63" s="227"/>
      <c r="D63" s="227"/>
      <c r="E63" s="227"/>
      <c r="F63" s="233"/>
      <c r="G63" s="857">
        <f>SUM(G44:G61)</f>
        <v>57751790</v>
      </c>
      <c r="H63" s="220"/>
    </row>
    <row r="64" spans="1:8" ht="20.100000000000001" customHeight="1">
      <c r="A64" s="620"/>
      <c r="B64" s="227"/>
      <c r="C64" s="227"/>
      <c r="D64" s="227"/>
      <c r="E64" s="227"/>
      <c r="F64" s="233"/>
      <c r="G64" s="239"/>
      <c r="H64" s="220"/>
    </row>
    <row r="65" spans="1:8" ht="20.100000000000001" customHeight="1">
      <c r="A65" s="1006" t="s">
        <v>339</v>
      </c>
      <c r="B65" s="1007"/>
      <c r="C65" s="1007"/>
      <c r="D65" s="1007"/>
      <c r="E65" s="1007"/>
      <c r="F65" s="1008"/>
      <c r="G65" s="858"/>
      <c r="H65" s="220"/>
    </row>
    <row r="66" spans="1:8" ht="20.100000000000001" customHeight="1">
      <c r="A66" s="620"/>
      <c r="B66" s="227"/>
      <c r="C66" s="227"/>
      <c r="D66" s="227"/>
      <c r="E66" s="227"/>
      <c r="F66" s="233"/>
      <c r="G66" s="239"/>
      <c r="H66" s="220"/>
    </row>
    <row r="67" spans="1:8" ht="20.100000000000001" customHeight="1">
      <c r="A67" s="620" t="s">
        <v>340</v>
      </c>
      <c r="B67" s="227"/>
      <c r="C67" s="227"/>
      <c r="D67" s="227"/>
      <c r="E67" s="227"/>
      <c r="F67" s="233" t="s">
        <v>341</v>
      </c>
      <c r="G67" s="565">
        <v>0</v>
      </c>
      <c r="H67" s="220"/>
    </row>
    <row r="68" spans="1:8" ht="20.100000000000001" customHeight="1">
      <c r="A68" s="620" t="s">
        <v>342</v>
      </c>
      <c r="B68" s="227"/>
      <c r="C68" s="227"/>
      <c r="D68" s="227"/>
      <c r="E68" s="227"/>
      <c r="F68" s="233" t="s">
        <v>343</v>
      </c>
      <c r="G68" s="565">
        <v>3195857</v>
      </c>
      <c r="H68" s="220"/>
    </row>
    <row r="69" spans="1:8" ht="20.100000000000001" customHeight="1">
      <c r="A69" s="620" t="s">
        <v>344</v>
      </c>
      <c r="B69" s="227"/>
      <c r="C69" s="227"/>
      <c r="D69" s="227"/>
      <c r="E69" s="227"/>
      <c r="F69" s="233" t="s">
        <v>345</v>
      </c>
      <c r="G69" s="565">
        <v>8000</v>
      </c>
      <c r="H69" s="220"/>
    </row>
    <row r="70" spans="1:8" ht="20.100000000000001" customHeight="1">
      <c r="A70" s="620"/>
      <c r="B70" s="227"/>
      <c r="C70" s="227"/>
      <c r="D70" s="227"/>
      <c r="E70" s="227"/>
      <c r="F70" s="233"/>
      <c r="G70" s="856"/>
      <c r="H70" s="220"/>
    </row>
    <row r="71" spans="1:8" ht="20.100000000000001" customHeight="1">
      <c r="A71" s="622" t="s">
        <v>346</v>
      </c>
      <c r="B71" s="227"/>
      <c r="C71" s="227"/>
      <c r="D71" s="227"/>
      <c r="E71" s="227"/>
      <c r="F71" s="233"/>
      <c r="G71" s="277">
        <f>SUM(G67:G69)</f>
        <v>3203857</v>
      </c>
      <c r="H71" s="220"/>
    </row>
    <row r="72" spans="1:8" ht="20.100000000000001" customHeight="1">
      <c r="A72" s="859"/>
      <c r="B72" s="703"/>
      <c r="C72" s="703"/>
      <c r="D72" s="703"/>
      <c r="E72" s="703"/>
      <c r="F72" s="704"/>
      <c r="G72" s="860"/>
      <c r="H72" s="220"/>
    </row>
    <row r="73" spans="1:8" ht="20.100000000000001" customHeight="1">
      <c r="A73" s="1006" t="s">
        <v>347</v>
      </c>
      <c r="B73" s="1007"/>
      <c r="C73" s="1007"/>
      <c r="D73" s="1007"/>
      <c r="E73" s="1007"/>
      <c r="F73" s="1008"/>
      <c r="G73" s="759"/>
      <c r="H73" s="220"/>
    </row>
    <row r="74" spans="1:8" ht="20.100000000000001" customHeight="1">
      <c r="A74" s="620"/>
      <c r="B74" s="227"/>
      <c r="C74" s="227"/>
      <c r="D74" s="227"/>
      <c r="E74" s="227"/>
      <c r="F74" s="233"/>
      <c r="G74" s="248"/>
      <c r="H74" s="220"/>
    </row>
    <row r="75" spans="1:8" ht="20.100000000000001" customHeight="1">
      <c r="A75" s="620" t="s">
        <v>348</v>
      </c>
      <c r="B75" s="227"/>
      <c r="C75" s="227"/>
      <c r="D75" s="227"/>
      <c r="E75" s="227"/>
      <c r="F75" s="233" t="s">
        <v>349</v>
      </c>
      <c r="G75" s="646">
        <f>'CHECK SHEET'!D102</f>
        <v>66032070</v>
      </c>
      <c r="H75" s="220"/>
    </row>
    <row r="76" spans="1:8" ht="20.100000000000001" customHeight="1">
      <c r="A76" s="620" t="s">
        <v>350</v>
      </c>
      <c r="B76" s="227"/>
      <c r="C76" s="227"/>
      <c r="D76" s="227"/>
      <c r="E76" s="227"/>
      <c r="F76" s="236">
        <v>42130</v>
      </c>
      <c r="G76" s="647">
        <v>0</v>
      </c>
      <c r="H76" s="220"/>
    </row>
    <row r="77" spans="1:8" ht="20.100000000000001" customHeight="1">
      <c r="A77" s="623" t="s">
        <v>351</v>
      </c>
      <c r="B77" s="624"/>
      <c r="C77" s="624"/>
      <c r="D77" s="624"/>
      <c r="E77" s="624"/>
      <c r="F77" s="249" t="s">
        <v>352</v>
      </c>
      <c r="G77" s="648">
        <v>1112491</v>
      </c>
      <c r="H77" s="220"/>
    </row>
    <row r="78" spans="1:8" ht="20.100000000000001" customHeight="1">
      <c r="A78" s="623" t="s">
        <v>353</v>
      </c>
      <c r="B78" s="624"/>
      <c r="C78" s="624"/>
      <c r="D78" s="624"/>
      <c r="E78" s="624"/>
      <c r="F78" s="249" t="s">
        <v>354</v>
      </c>
      <c r="G78" s="647">
        <v>0</v>
      </c>
      <c r="H78" s="220"/>
    </row>
    <row r="79" spans="1:8" ht="20.100000000000001" customHeight="1">
      <c r="A79" s="620" t="s">
        <v>355</v>
      </c>
      <c r="B79" s="227"/>
      <c r="C79" s="227"/>
      <c r="D79" s="227"/>
      <c r="E79" s="227"/>
      <c r="F79" s="233" t="s">
        <v>356</v>
      </c>
      <c r="G79" s="647">
        <v>0</v>
      </c>
      <c r="H79" s="220"/>
    </row>
    <row r="80" spans="1:8" ht="20.100000000000001" customHeight="1">
      <c r="A80" s="620" t="s">
        <v>357</v>
      </c>
      <c r="B80" s="227"/>
      <c r="C80" s="227"/>
      <c r="D80" s="227"/>
      <c r="E80" s="227"/>
      <c r="F80" s="233" t="s">
        <v>358</v>
      </c>
      <c r="G80" s="647">
        <v>700000</v>
      </c>
      <c r="H80" s="220"/>
    </row>
    <row r="81" spans="1:10" ht="20.100000000000001" customHeight="1">
      <c r="A81" s="620" t="s">
        <v>359</v>
      </c>
      <c r="B81" s="227"/>
      <c r="C81" s="227"/>
      <c r="D81" s="227"/>
      <c r="E81" s="227"/>
      <c r="F81" s="233" t="s">
        <v>360</v>
      </c>
      <c r="G81" s="646">
        <f>'CHECK SHEET'!D104</f>
        <v>12104813</v>
      </c>
      <c r="H81" s="220"/>
    </row>
    <row r="82" spans="1:10" ht="20.100000000000001" customHeight="1">
      <c r="A82" s="625" t="s">
        <v>361</v>
      </c>
      <c r="B82" s="626"/>
      <c r="C82" s="626"/>
      <c r="D82" s="626"/>
      <c r="E82" s="626"/>
      <c r="F82" s="248" t="s">
        <v>362</v>
      </c>
      <c r="G82" s="647">
        <v>0</v>
      </c>
      <c r="H82" s="220"/>
    </row>
    <row r="83" spans="1:10" ht="20.100000000000001" customHeight="1">
      <c r="A83" s="620" t="s">
        <v>363</v>
      </c>
      <c r="B83" s="227"/>
      <c r="C83" s="227"/>
      <c r="D83" s="227"/>
      <c r="E83" s="227"/>
      <c r="F83" s="233" t="s">
        <v>364</v>
      </c>
      <c r="G83" s="647">
        <v>50000</v>
      </c>
      <c r="H83" s="220"/>
    </row>
    <row r="84" spans="1:10" ht="20.100000000000001" customHeight="1">
      <c r="A84" s="620"/>
      <c r="B84" s="227"/>
      <c r="C84" s="227"/>
      <c r="D84" s="227"/>
      <c r="E84" s="227"/>
      <c r="F84" s="233"/>
      <c r="G84" s="861"/>
      <c r="H84" s="220"/>
    </row>
    <row r="85" spans="1:10" ht="20.100000000000001" customHeight="1">
      <c r="A85" s="622" t="s">
        <v>365</v>
      </c>
      <c r="B85" s="227"/>
      <c r="C85" s="227"/>
      <c r="D85" s="227"/>
      <c r="E85" s="227"/>
      <c r="F85" s="233"/>
      <c r="G85" s="278">
        <f>SUM(G75:G83)</f>
        <v>79999374</v>
      </c>
      <c r="H85" s="220"/>
    </row>
    <row r="86" spans="1:10" ht="20.100000000000001" customHeight="1">
      <c r="A86" s="859"/>
      <c r="B86" s="703"/>
      <c r="C86" s="703"/>
      <c r="D86" s="703"/>
      <c r="E86" s="703"/>
      <c r="F86" s="704"/>
      <c r="G86" s="860"/>
      <c r="H86" s="220"/>
    </row>
    <row r="87" spans="1:10" ht="20.100000000000001" customHeight="1">
      <c r="A87" s="1009" t="s">
        <v>366</v>
      </c>
      <c r="B87" s="1010"/>
      <c r="C87" s="1010"/>
      <c r="D87" s="1010"/>
      <c r="E87" s="1010"/>
      <c r="F87" s="1011"/>
      <c r="G87" s="759"/>
      <c r="H87" s="220"/>
    </row>
    <row r="88" spans="1:10" ht="20.100000000000001" customHeight="1">
      <c r="A88" s="620"/>
      <c r="B88" s="227"/>
      <c r="C88" s="227"/>
      <c r="D88" s="227"/>
      <c r="E88" s="227"/>
      <c r="F88" s="233"/>
      <c r="G88" s="248"/>
      <c r="H88" s="220"/>
    </row>
    <row r="89" spans="1:10" ht="20.100000000000001" customHeight="1">
      <c r="A89" s="620" t="s">
        <v>367</v>
      </c>
      <c r="B89" s="227"/>
      <c r="C89" s="227"/>
      <c r="D89" s="227"/>
      <c r="E89" s="227"/>
      <c r="F89" s="233" t="s">
        <v>368</v>
      </c>
      <c r="G89" s="568">
        <v>70000</v>
      </c>
      <c r="H89" s="220"/>
    </row>
    <row r="90" spans="1:10" ht="20.100000000000001" customHeight="1">
      <c r="A90" s="621" t="s">
        <v>369</v>
      </c>
      <c r="B90" s="230"/>
      <c r="C90" s="230"/>
      <c r="D90" s="230"/>
      <c r="E90" s="230"/>
      <c r="F90" s="1183">
        <v>43518</v>
      </c>
      <c r="G90" s="649">
        <v>0</v>
      </c>
      <c r="H90" s="220"/>
      <c r="J90" s="250"/>
    </row>
    <row r="91" spans="1:10" ht="20.100000000000001" customHeight="1">
      <c r="A91" s="621" t="s">
        <v>370</v>
      </c>
      <c r="B91" s="230"/>
      <c r="C91" s="230"/>
      <c r="D91" s="230"/>
      <c r="E91" s="230"/>
      <c r="F91" s="1183">
        <v>43519</v>
      </c>
      <c r="G91" s="649">
        <v>0</v>
      </c>
      <c r="H91" s="220"/>
    </row>
    <row r="92" spans="1:10" ht="20.100000000000001" customHeight="1">
      <c r="A92" s="621" t="s">
        <v>7</v>
      </c>
      <c r="B92" s="230"/>
      <c r="C92" s="230"/>
      <c r="D92" s="230"/>
      <c r="E92" s="230"/>
      <c r="F92" s="253">
        <v>43521</v>
      </c>
      <c r="G92" s="649">
        <v>0</v>
      </c>
      <c r="H92" s="220"/>
    </row>
    <row r="93" spans="1:10" ht="20.100000000000001" customHeight="1">
      <c r="A93" s="621" t="s">
        <v>8</v>
      </c>
      <c r="B93" s="230"/>
      <c r="C93" s="230"/>
      <c r="D93" s="230"/>
      <c r="E93" s="230"/>
      <c r="F93" s="253">
        <v>43526</v>
      </c>
      <c r="G93" s="649">
        <v>0</v>
      </c>
      <c r="H93" s="220"/>
    </row>
    <row r="94" spans="1:10" ht="20.100000000000001" customHeight="1">
      <c r="A94" s="620" t="s">
        <v>371</v>
      </c>
      <c r="B94" s="227"/>
      <c r="C94" s="227"/>
      <c r="D94" s="227"/>
      <c r="E94" s="227"/>
      <c r="F94" s="233" t="s">
        <v>372</v>
      </c>
      <c r="G94" s="565">
        <v>500000</v>
      </c>
      <c r="H94" s="220"/>
    </row>
    <row r="95" spans="1:10" ht="20.100000000000001" customHeight="1">
      <c r="A95" s="742"/>
      <c r="B95" s="705"/>
      <c r="C95" s="705"/>
      <c r="D95" s="705"/>
      <c r="E95" s="705"/>
      <c r="F95" s="720"/>
      <c r="G95" s="861"/>
      <c r="H95" s="220"/>
    </row>
    <row r="96" spans="1:10" ht="20.100000000000001" customHeight="1">
      <c r="A96" s="622" t="s">
        <v>373</v>
      </c>
      <c r="B96" s="227"/>
      <c r="C96" s="227"/>
      <c r="D96" s="227"/>
      <c r="E96" s="227"/>
      <c r="F96" s="251"/>
      <c r="G96" s="862">
        <f>SUM(G89:G94)</f>
        <v>570000</v>
      </c>
      <c r="H96" s="220"/>
    </row>
    <row r="97" spans="1:8" ht="20.100000000000001" customHeight="1">
      <c r="A97" s="620"/>
      <c r="B97" s="227"/>
      <c r="C97" s="227"/>
      <c r="D97" s="227"/>
      <c r="E97" s="227"/>
      <c r="F97" s="233"/>
      <c r="G97" s="252"/>
      <c r="H97" s="220"/>
    </row>
    <row r="98" spans="1:8" ht="20.100000000000001" customHeight="1">
      <c r="A98" s="1012" t="s">
        <v>374</v>
      </c>
      <c r="B98" s="1013"/>
      <c r="C98" s="1013"/>
      <c r="D98" s="1013"/>
      <c r="E98" s="1013"/>
      <c r="F98" s="1014"/>
      <c r="G98" s="863"/>
      <c r="H98" s="220"/>
    </row>
    <row r="99" spans="1:8" ht="20.100000000000001" customHeight="1">
      <c r="A99" s="620"/>
      <c r="B99" s="227"/>
      <c r="C99" s="227"/>
      <c r="D99" s="227"/>
      <c r="E99" s="227"/>
      <c r="F99" s="233"/>
      <c r="G99" s="252"/>
      <c r="H99" s="220"/>
    </row>
    <row r="100" spans="1:8" ht="20.100000000000001" customHeight="1">
      <c r="A100" s="620" t="s">
        <v>375</v>
      </c>
      <c r="B100" s="227"/>
      <c r="C100" s="227"/>
      <c r="D100" s="227"/>
      <c r="E100" s="227"/>
      <c r="F100" s="233" t="s">
        <v>376</v>
      </c>
      <c r="G100" s="568">
        <v>830000</v>
      </c>
      <c r="H100" s="220"/>
    </row>
    <row r="101" spans="1:8" ht="20.100000000000001" customHeight="1">
      <c r="A101" s="620" t="s">
        <v>377</v>
      </c>
      <c r="B101" s="227"/>
      <c r="C101" s="227"/>
      <c r="D101" s="227"/>
      <c r="E101" s="227"/>
      <c r="F101" s="233" t="s">
        <v>378</v>
      </c>
      <c r="G101" s="566">
        <v>0</v>
      </c>
      <c r="H101" s="220"/>
    </row>
    <row r="102" spans="1:8" ht="20.100000000000001" customHeight="1">
      <c r="A102" s="621" t="s">
        <v>379</v>
      </c>
      <c r="B102" s="230"/>
      <c r="C102" s="230"/>
      <c r="D102" s="230"/>
      <c r="E102" s="230"/>
      <c r="F102" s="253">
        <v>44400</v>
      </c>
      <c r="G102" s="567">
        <v>138598</v>
      </c>
      <c r="H102" s="220"/>
    </row>
    <row r="103" spans="1:8" ht="20.100000000000001" customHeight="1">
      <c r="A103" s="620" t="s">
        <v>380</v>
      </c>
      <c r="B103" s="227"/>
      <c r="C103" s="227"/>
      <c r="D103" s="227"/>
      <c r="E103" s="227"/>
      <c r="F103" s="233" t="s">
        <v>381</v>
      </c>
      <c r="G103" s="566">
        <v>0</v>
      </c>
      <c r="H103" s="220"/>
    </row>
    <row r="104" spans="1:8" ht="20.100000000000001" customHeight="1">
      <c r="A104" s="620"/>
      <c r="B104" s="227"/>
      <c r="C104" s="227"/>
      <c r="D104" s="227"/>
      <c r="E104" s="227"/>
      <c r="F104" s="233"/>
      <c r="G104" s="864"/>
      <c r="H104" s="220"/>
    </row>
    <row r="105" spans="1:8" ht="20.100000000000001" customHeight="1">
      <c r="A105" s="622" t="s">
        <v>382</v>
      </c>
      <c r="B105" s="227"/>
      <c r="C105" s="227"/>
      <c r="D105" s="227"/>
      <c r="E105" s="227"/>
      <c r="F105" s="233"/>
      <c r="G105" s="862">
        <f>SUM(G100:G103)</f>
        <v>968598</v>
      </c>
      <c r="H105" s="220"/>
    </row>
    <row r="106" spans="1:8" ht="20.100000000000001" customHeight="1">
      <c r="A106" s="620"/>
      <c r="B106" s="227"/>
      <c r="C106" s="227"/>
      <c r="D106" s="227"/>
      <c r="E106" s="227"/>
      <c r="F106" s="233"/>
      <c r="G106" s="252"/>
      <c r="H106" s="220"/>
    </row>
    <row r="107" spans="1:8" ht="20.100000000000001" customHeight="1">
      <c r="A107" s="1006" t="s">
        <v>383</v>
      </c>
      <c r="B107" s="1007"/>
      <c r="C107" s="1007"/>
      <c r="D107" s="1007"/>
      <c r="E107" s="1007"/>
      <c r="F107" s="1008"/>
      <c r="G107" s="865"/>
      <c r="H107" s="220"/>
    </row>
    <row r="108" spans="1:8" ht="20.100000000000001" customHeight="1">
      <c r="A108" s="620"/>
      <c r="B108" s="227"/>
      <c r="C108" s="227"/>
      <c r="D108" s="227"/>
      <c r="E108" s="227"/>
      <c r="F108" s="233"/>
      <c r="G108" s="252"/>
      <c r="H108" s="220"/>
    </row>
    <row r="109" spans="1:8" ht="20.100000000000001" customHeight="1">
      <c r="A109" s="620" t="s">
        <v>384</v>
      </c>
      <c r="B109" s="227"/>
      <c r="C109" s="227"/>
      <c r="D109" s="227"/>
      <c r="E109" s="227"/>
      <c r="F109" s="233" t="s">
        <v>385</v>
      </c>
      <c r="G109" s="568">
        <v>0</v>
      </c>
      <c r="H109" s="220"/>
    </row>
    <row r="110" spans="1:8" ht="20.100000000000001" customHeight="1">
      <c r="A110" s="620" t="s">
        <v>386</v>
      </c>
      <c r="B110" s="227"/>
      <c r="C110" s="227"/>
      <c r="D110" s="227"/>
      <c r="E110" s="227"/>
      <c r="F110" s="233" t="s">
        <v>387</v>
      </c>
      <c r="G110" s="566">
        <v>1326500</v>
      </c>
      <c r="H110" s="220"/>
    </row>
    <row r="111" spans="1:8" ht="20.100000000000001" customHeight="1">
      <c r="A111" s="620" t="s">
        <v>388</v>
      </c>
      <c r="B111" s="227"/>
      <c r="C111" s="227"/>
      <c r="D111" s="227"/>
      <c r="E111" s="227"/>
      <c r="F111" s="233" t="s">
        <v>389</v>
      </c>
      <c r="G111" s="566">
        <v>362400</v>
      </c>
      <c r="H111" s="220"/>
    </row>
    <row r="112" spans="1:8" ht="20.100000000000001" customHeight="1">
      <c r="A112" s="620" t="s">
        <v>390</v>
      </c>
      <c r="B112" s="227"/>
      <c r="C112" s="227"/>
      <c r="D112" s="227"/>
      <c r="E112" s="227"/>
      <c r="F112" s="233" t="s">
        <v>391</v>
      </c>
      <c r="G112" s="566">
        <v>59500</v>
      </c>
      <c r="H112" s="220"/>
    </row>
    <row r="113" spans="1:8" ht="20.100000000000001" customHeight="1">
      <c r="A113" s="620" t="s">
        <v>392</v>
      </c>
      <c r="B113" s="227"/>
      <c r="C113" s="227"/>
      <c r="D113" s="227"/>
      <c r="E113" s="227"/>
      <c r="F113" s="233" t="s">
        <v>393</v>
      </c>
      <c r="G113" s="1161">
        <v>0</v>
      </c>
      <c r="H113" s="220"/>
    </row>
    <row r="114" spans="1:8" ht="20.100000000000001" customHeight="1">
      <c r="A114" s="620"/>
      <c r="B114" s="227"/>
      <c r="C114" s="227"/>
      <c r="D114" s="227"/>
      <c r="E114" s="227"/>
      <c r="F114" s="233"/>
      <c r="G114" s="864"/>
      <c r="H114" s="220"/>
    </row>
    <row r="115" spans="1:8" ht="20.100000000000001" customHeight="1">
      <c r="A115" s="866" t="s">
        <v>394</v>
      </c>
      <c r="B115" s="867"/>
      <c r="C115" s="867"/>
      <c r="D115" s="867"/>
      <c r="E115" s="867"/>
      <c r="F115" s="868"/>
      <c r="G115" s="862">
        <f>SUM(G109:G113)</f>
        <v>1748400</v>
      </c>
      <c r="H115" s="220"/>
    </row>
    <row r="116" spans="1:8" ht="20.100000000000001" customHeight="1">
      <c r="A116" s="620"/>
      <c r="B116" s="227"/>
      <c r="C116" s="227"/>
      <c r="D116" s="227"/>
      <c r="E116" s="227"/>
      <c r="F116" s="627"/>
      <c r="G116" s="628"/>
      <c r="H116" s="220"/>
    </row>
    <row r="117" spans="1:8" ht="20.100000000000001" customHeight="1">
      <c r="A117" s="869" t="s">
        <v>395</v>
      </c>
      <c r="B117" s="706"/>
      <c r="C117" s="706"/>
      <c r="D117" s="706"/>
      <c r="E117" s="706"/>
      <c r="F117" s="707" t="s">
        <v>396</v>
      </c>
      <c r="G117" s="870">
        <v>0</v>
      </c>
      <c r="H117" s="220"/>
    </row>
    <row r="118" spans="1:8" ht="20.100000000000001" customHeight="1">
      <c r="A118" s="629"/>
      <c r="B118" s="220"/>
      <c r="C118" s="220"/>
      <c r="D118" s="220"/>
      <c r="E118" s="220"/>
      <c r="F118" s="254"/>
      <c r="G118" s="255"/>
      <c r="H118" s="220"/>
    </row>
    <row r="119" spans="1:8" ht="20.100000000000001" customHeight="1">
      <c r="A119" s="622" t="s">
        <v>397</v>
      </c>
      <c r="B119" s="220"/>
      <c r="C119" s="227"/>
      <c r="D119" s="227"/>
      <c r="E119" s="220"/>
      <c r="F119" s="254"/>
      <c r="G119" s="862">
        <f>G117</f>
        <v>0</v>
      </c>
      <c r="H119" s="220"/>
    </row>
    <row r="120" spans="1:8" ht="20.100000000000001" customHeight="1">
      <c r="A120" s="629"/>
      <c r="B120" s="220"/>
      <c r="C120" s="220"/>
      <c r="D120" s="220"/>
      <c r="E120" s="220"/>
      <c r="F120" s="254"/>
      <c r="G120" s="252"/>
      <c r="H120" s="220"/>
    </row>
    <row r="121" spans="1:8" ht="20.100000000000001" customHeight="1">
      <c r="A121" s="1012" t="s">
        <v>398</v>
      </c>
      <c r="B121" s="1013"/>
      <c r="C121" s="1013"/>
      <c r="D121" s="1013"/>
      <c r="E121" s="1013"/>
      <c r="F121" s="1014"/>
      <c r="G121" s="863"/>
      <c r="H121" s="220"/>
    </row>
    <row r="122" spans="1:8" ht="20.100000000000001" customHeight="1">
      <c r="A122" s="620"/>
      <c r="B122" s="227"/>
      <c r="C122" s="227"/>
      <c r="D122" s="227"/>
      <c r="E122" s="227"/>
      <c r="F122" s="233"/>
      <c r="G122" s="252"/>
      <c r="H122" s="220"/>
    </row>
    <row r="123" spans="1:8" ht="20.100000000000001" customHeight="1">
      <c r="A123" s="620" t="s">
        <v>399</v>
      </c>
      <c r="B123" s="227"/>
      <c r="C123" s="227"/>
      <c r="D123" s="227"/>
      <c r="E123" s="227"/>
      <c r="F123" s="233" t="s">
        <v>400</v>
      </c>
      <c r="G123" s="568">
        <v>48000</v>
      </c>
      <c r="H123" s="220"/>
    </row>
    <row r="124" spans="1:8" ht="20.100000000000001" customHeight="1">
      <c r="A124" s="620" t="s">
        <v>401</v>
      </c>
      <c r="B124" s="227"/>
      <c r="C124" s="227"/>
      <c r="D124" s="227"/>
      <c r="E124" s="227"/>
      <c r="F124" s="233" t="s">
        <v>402</v>
      </c>
      <c r="G124" s="566">
        <v>0</v>
      </c>
      <c r="H124" s="220"/>
    </row>
    <row r="125" spans="1:8" ht="20.100000000000001" customHeight="1">
      <c r="A125" s="620" t="s">
        <v>403</v>
      </c>
      <c r="B125" s="227"/>
      <c r="C125" s="227"/>
      <c r="D125" s="227"/>
      <c r="E125" s="227"/>
      <c r="F125" s="233" t="s">
        <v>404</v>
      </c>
      <c r="G125" s="566">
        <v>2000</v>
      </c>
      <c r="H125" s="220"/>
    </row>
    <row r="126" spans="1:8" ht="20.100000000000001" customHeight="1">
      <c r="A126" s="620" t="s">
        <v>405</v>
      </c>
      <c r="B126" s="227"/>
      <c r="C126" s="227"/>
      <c r="D126" s="227"/>
      <c r="E126" s="227"/>
      <c r="F126" s="233" t="s">
        <v>406</v>
      </c>
      <c r="G126" s="566">
        <v>67340</v>
      </c>
      <c r="H126" s="220"/>
    </row>
    <row r="127" spans="1:8" ht="20.100000000000001" customHeight="1">
      <c r="A127" s="620"/>
      <c r="B127" s="227"/>
      <c r="C127" s="227"/>
      <c r="D127" s="227"/>
      <c r="E127" s="227"/>
      <c r="F127" s="233"/>
      <c r="G127" s="864"/>
      <c r="H127" s="220"/>
    </row>
    <row r="128" spans="1:8" ht="20.100000000000001" customHeight="1">
      <c r="A128" s="622" t="s">
        <v>407</v>
      </c>
      <c r="B128" s="227"/>
      <c r="C128" s="227"/>
      <c r="D128" s="227"/>
      <c r="E128" s="227"/>
      <c r="F128" s="233"/>
      <c r="G128" s="862">
        <f>SUM(G123:G126)</f>
        <v>117340</v>
      </c>
      <c r="H128" s="220"/>
    </row>
    <row r="129" spans="1:8" ht="20.100000000000001" customHeight="1">
      <c r="A129" s="620"/>
      <c r="B129" s="227"/>
      <c r="C129" s="227"/>
      <c r="D129" s="227"/>
      <c r="E129" s="227"/>
      <c r="F129" s="233"/>
      <c r="G129" s="252"/>
      <c r="H129" s="220"/>
    </row>
    <row r="130" spans="1:8" ht="20.100000000000001" customHeight="1">
      <c r="A130" s="1006" t="s">
        <v>408</v>
      </c>
      <c r="B130" s="1007"/>
      <c r="C130" s="1007"/>
      <c r="D130" s="1007"/>
      <c r="E130" s="1007"/>
      <c r="F130" s="1008"/>
      <c r="G130" s="865"/>
      <c r="H130" s="220"/>
    </row>
    <row r="131" spans="1:8" ht="20.100000000000001" customHeight="1">
      <c r="A131" s="620"/>
      <c r="B131" s="227"/>
      <c r="C131" s="227"/>
      <c r="D131" s="227"/>
      <c r="E131" s="227"/>
      <c r="F131" s="233"/>
      <c r="G131" s="252"/>
      <c r="H131" s="220"/>
    </row>
    <row r="132" spans="1:8" ht="20.100000000000001" customHeight="1">
      <c r="A132" s="620" t="s">
        <v>409</v>
      </c>
      <c r="B132" s="227"/>
      <c r="C132" s="227"/>
      <c r="D132" s="630"/>
      <c r="E132" s="631"/>
      <c r="F132" s="249" t="s">
        <v>410</v>
      </c>
      <c r="G132" s="568">
        <v>0</v>
      </c>
      <c r="H132" s="220"/>
    </row>
    <row r="133" spans="1:8" ht="20.100000000000001" customHeight="1">
      <c r="A133" s="620" t="s">
        <v>411</v>
      </c>
      <c r="B133" s="227"/>
      <c r="C133" s="227"/>
      <c r="D133" s="630"/>
      <c r="E133" s="631"/>
      <c r="F133" s="249" t="s">
        <v>412</v>
      </c>
      <c r="G133" s="566">
        <v>0</v>
      </c>
      <c r="H133" s="220"/>
    </row>
    <row r="134" spans="1:8" ht="20.100000000000001" customHeight="1">
      <c r="A134" s="621" t="s">
        <v>413</v>
      </c>
      <c r="B134" s="230"/>
      <c r="C134" s="230"/>
      <c r="D134" s="632"/>
      <c r="E134" s="244"/>
      <c r="F134" s="256">
        <v>49230</v>
      </c>
      <c r="G134" s="567">
        <v>1350000</v>
      </c>
      <c r="H134" s="220"/>
    </row>
    <row r="135" spans="1:8" ht="20.100000000000001" customHeight="1">
      <c r="A135" s="621" t="s">
        <v>414</v>
      </c>
      <c r="B135" s="230"/>
      <c r="C135" s="230"/>
      <c r="D135" s="632"/>
      <c r="E135" s="244"/>
      <c r="F135" s="256">
        <v>49240</v>
      </c>
      <c r="G135" s="566">
        <v>0</v>
      </c>
      <c r="H135" s="220"/>
    </row>
    <row r="136" spans="1:8" ht="20.100000000000001" customHeight="1">
      <c r="A136" s="620" t="s">
        <v>415</v>
      </c>
      <c r="B136" s="227"/>
      <c r="C136" s="227"/>
      <c r="D136" s="227"/>
      <c r="E136" s="227"/>
      <c r="F136" s="233" t="s">
        <v>416</v>
      </c>
      <c r="G136" s="566">
        <v>0</v>
      </c>
      <c r="H136" s="220"/>
    </row>
    <row r="137" spans="1:8" ht="20.100000000000001" customHeight="1">
      <c r="A137" s="620" t="s">
        <v>417</v>
      </c>
      <c r="B137" s="227"/>
      <c r="C137" s="227"/>
      <c r="D137" s="227"/>
      <c r="E137" s="227"/>
      <c r="F137" s="236">
        <v>49520</v>
      </c>
      <c r="G137" s="566">
        <v>0</v>
      </c>
      <c r="H137" s="220"/>
    </row>
    <row r="138" spans="1:8" ht="20.100000000000001" customHeight="1">
      <c r="A138" s="620" t="s">
        <v>418</v>
      </c>
      <c r="B138" s="227"/>
      <c r="C138" s="227"/>
      <c r="D138" s="227"/>
      <c r="E138" s="227"/>
      <c r="F138" s="233" t="s">
        <v>419</v>
      </c>
      <c r="G138" s="566">
        <v>0</v>
      </c>
      <c r="H138" s="220"/>
    </row>
    <row r="139" spans="1:8" ht="20.100000000000001" customHeight="1">
      <c r="A139" s="620" t="s">
        <v>420</v>
      </c>
      <c r="B139" s="227"/>
      <c r="C139" s="227"/>
      <c r="D139" s="227"/>
      <c r="E139" s="227"/>
      <c r="F139" s="233" t="s">
        <v>421</v>
      </c>
      <c r="G139" s="566">
        <v>0</v>
      </c>
      <c r="H139" s="220"/>
    </row>
    <row r="140" spans="1:8" ht="20.100000000000001" customHeight="1">
      <c r="A140" s="620"/>
      <c r="B140" s="227"/>
      <c r="C140" s="227"/>
      <c r="D140" s="227"/>
      <c r="E140" s="227"/>
      <c r="F140" s="233"/>
      <c r="G140" s="864"/>
      <c r="H140" s="220"/>
    </row>
    <row r="141" spans="1:8" ht="20.100000000000001" customHeight="1">
      <c r="A141" s="622" t="s">
        <v>422</v>
      </c>
      <c r="B141" s="227"/>
      <c r="C141" s="227"/>
      <c r="D141" s="227"/>
      <c r="E141" s="227"/>
      <c r="F141" s="233"/>
      <c r="G141" s="862">
        <f>SUM(G132:G139)</f>
        <v>1350000</v>
      </c>
      <c r="H141" s="220"/>
    </row>
    <row r="142" spans="1:8" ht="20.100000000000001" customHeight="1">
      <c r="A142" s="620"/>
      <c r="B142" s="227"/>
      <c r="C142" s="227"/>
      <c r="D142" s="227"/>
      <c r="E142" s="227"/>
      <c r="F142" s="233"/>
      <c r="G142" s="252"/>
      <c r="H142" s="220"/>
    </row>
    <row r="143" spans="1:8" ht="20.100000000000001" customHeight="1" thickBot="1">
      <c r="A143" s="652" t="s">
        <v>423</v>
      </c>
      <c r="B143" s="653"/>
      <c r="C143" s="653"/>
      <c r="D143" s="653"/>
      <c r="E143" s="653"/>
      <c r="F143" s="654"/>
      <c r="G143" s="656">
        <f>G63+G71+G85+G96+G105+G115+G119+G128+G141</f>
        <v>145709359</v>
      </c>
      <c r="H143" s="220"/>
    </row>
    <row r="144" spans="1:8" ht="20.100000000000001" customHeight="1" thickTop="1">
      <c r="A144" s="859"/>
      <c r="B144" s="703"/>
      <c r="C144" s="703"/>
      <c r="D144" s="703"/>
      <c r="E144" s="703"/>
      <c r="F144" s="760"/>
      <c r="G144" s="761"/>
      <c r="H144" s="220"/>
    </row>
    <row r="145" spans="1:8" ht="20.100000000000001" customHeight="1">
      <c r="A145" s="1006" t="s">
        <v>424</v>
      </c>
      <c r="B145" s="1007"/>
      <c r="C145" s="1007"/>
      <c r="D145" s="1007"/>
      <c r="E145" s="1007"/>
      <c r="F145" s="1008"/>
      <c r="G145" s="871"/>
      <c r="H145" s="220"/>
    </row>
    <row r="146" spans="1:8" ht="20.100000000000001" customHeight="1">
      <c r="A146" s="620"/>
      <c r="B146" s="227"/>
      <c r="C146" s="227"/>
      <c r="D146" s="227"/>
      <c r="E146" s="227"/>
      <c r="F146" s="233"/>
      <c r="G146" s="257"/>
      <c r="H146" s="220"/>
    </row>
    <row r="147" spans="1:8" ht="20.100000000000001" customHeight="1">
      <c r="A147" s="620" t="s">
        <v>425</v>
      </c>
      <c r="B147" s="227"/>
      <c r="C147" s="227"/>
      <c r="D147" s="227"/>
      <c r="E147" s="227"/>
      <c r="F147" s="233" t="s">
        <v>426</v>
      </c>
      <c r="G147" s="569">
        <v>3402441</v>
      </c>
      <c r="H147" s="220"/>
    </row>
    <row r="148" spans="1:8" ht="20.100000000000001" customHeight="1">
      <c r="A148" s="620" t="s">
        <v>427</v>
      </c>
      <c r="B148" s="220"/>
      <c r="C148" s="220"/>
      <c r="D148" s="220"/>
      <c r="E148" s="220"/>
      <c r="F148" s="233" t="s">
        <v>428</v>
      </c>
      <c r="G148" s="570">
        <v>3890181</v>
      </c>
      <c r="H148" s="220"/>
    </row>
    <row r="149" spans="1:8" ht="20.100000000000001" customHeight="1">
      <c r="A149" s="620" t="s">
        <v>429</v>
      </c>
      <c r="B149" s="220"/>
      <c r="C149" s="220"/>
      <c r="D149" s="220"/>
      <c r="E149" s="220"/>
      <c r="F149" s="233" t="s">
        <v>430</v>
      </c>
      <c r="G149" s="570">
        <v>1687173</v>
      </c>
      <c r="H149" s="220"/>
    </row>
    <row r="150" spans="1:8" ht="20.100000000000001" customHeight="1">
      <c r="A150" s="620" t="s">
        <v>431</v>
      </c>
      <c r="B150" s="220"/>
      <c r="C150" s="220"/>
      <c r="D150" s="220"/>
      <c r="E150" s="220"/>
      <c r="F150" s="233" t="s">
        <v>432</v>
      </c>
      <c r="G150" s="570">
        <v>0</v>
      </c>
      <c r="H150" s="220"/>
    </row>
    <row r="151" spans="1:8" ht="20.100000000000001" customHeight="1">
      <c r="A151" s="620" t="s">
        <v>433</v>
      </c>
      <c r="B151" s="220"/>
      <c r="C151" s="220"/>
      <c r="D151" s="220"/>
      <c r="E151" s="220"/>
      <c r="F151" s="233" t="s">
        <v>434</v>
      </c>
      <c r="G151" s="570">
        <v>0</v>
      </c>
      <c r="H151" s="220"/>
    </row>
    <row r="152" spans="1:8" ht="20.100000000000001" customHeight="1">
      <c r="A152" s="620" t="s">
        <v>435</v>
      </c>
      <c r="B152" s="227"/>
      <c r="C152" s="227"/>
      <c r="D152" s="227"/>
      <c r="E152" s="227"/>
      <c r="F152" s="233" t="s">
        <v>436</v>
      </c>
      <c r="G152" s="570">
        <v>24079930</v>
      </c>
      <c r="H152" s="220"/>
    </row>
    <row r="153" spans="1:8" ht="20.100000000000001" customHeight="1">
      <c r="A153" s="620" t="s">
        <v>437</v>
      </c>
      <c r="B153" s="227"/>
      <c r="C153" s="227"/>
      <c r="D153" s="227"/>
      <c r="E153" s="227"/>
      <c r="F153" s="233" t="s">
        <v>438</v>
      </c>
      <c r="G153" s="570">
        <v>3184189</v>
      </c>
      <c r="H153" s="220"/>
    </row>
    <row r="154" spans="1:8" ht="20.100000000000001" customHeight="1">
      <c r="A154" s="620" t="s">
        <v>439</v>
      </c>
      <c r="B154" s="227"/>
      <c r="C154" s="227"/>
      <c r="D154" s="227"/>
      <c r="E154" s="227"/>
      <c r="F154" s="233" t="s">
        <v>440</v>
      </c>
      <c r="G154" s="570">
        <v>0</v>
      </c>
      <c r="H154" s="220"/>
    </row>
    <row r="155" spans="1:8" ht="20.100000000000001" customHeight="1">
      <c r="A155" s="620" t="s">
        <v>441</v>
      </c>
      <c r="B155" s="227"/>
      <c r="C155" s="227"/>
      <c r="D155" s="227"/>
      <c r="E155" s="227"/>
      <c r="F155" s="233" t="s">
        <v>442</v>
      </c>
      <c r="G155" s="570">
        <v>1632955</v>
      </c>
      <c r="H155" s="220"/>
    </row>
    <row r="156" spans="1:8" ht="20.100000000000001" customHeight="1">
      <c r="A156" s="620" t="s">
        <v>443</v>
      </c>
      <c r="B156" s="227"/>
      <c r="C156" s="227"/>
      <c r="D156" s="227"/>
      <c r="E156" s="227"/>
      <c r="F156" s="233" t="s">
        <v>444</v>
      </c>
      <c r="G156" s="570">
        <v>0</v>
      </c>
      <c r="H156" s="220"/>
    </row>
    <row r="157" spans="1:8" ht="20.100000000000001" customHeight="1">
      <c r="A157" s="620" t="s">
        <v>445</v>
      </c>
      <c r="B157" s="227"/>
      <c r="C157" s="227"/>
      <c r="D157" s="227"/>
      <c r="E157" s="227"/>
      <c r="F157" s="236">
        <v>52500</v>
      </c>
      <c r="G157" s="570">
        <v>0</v>
      </c>
      <c r="H157" s="220"/>
    </row>
    <row r="158" spans="1:8" ht="20.100000000000001" customHeight="1">
      <c r="A158" s="620" t="s">
        <v>446</v>
      </c>
      <c r="B158" s="227"/>
      <c r="C158" s="227"/>
      <c r="D158" s="227"/>
      <c r="E158" s="227"/>
      <c r="F158" s="233" t="s">
        <v>447</v>
      </c>
      <c r="G158" s="570">
        <v>0</v>
      </c>
      <c r="H158" s="220"/>
    </row>
    <row r="159" spans="1:8" ht="20.100000000000001" customHeight="1">
      <c r="A159" s="620" t="s">
        <v>448</v>
      </c>
      <c r="B159" s="227"/>
      <c r="C159" s="227"/>
      <c r="D159" s="227"/>
      <c r="E159" s="227"/>
      <c r="F159" s="233" t="s">
        <v>449</v>
      </c>
      <c r="G159" s="570">
        <v>0</v>
      </c>
      <c r="H159" s="220"/>
    </row>
    <row r="160" spans="1:8" ht="20.100000000000001" customHeight="1">
      <c r="A160" s="620" t="s">
        <v>450</v>
      </c>
      <c r="B160" s="227"/>
      <c r="C160" s="227"/>
      <c r="D160" s="227"/>
      <c r="E160" s="227"/>
      <c r="F160" s="233" t="s">
        <v>451</v>
      </c>
      <c r="G160" s="570">
        <v>0</v>
      </c>
      <c r="H160" s="220"/>
    </row>
    <row r="161" spans="1:8" ht="20.100000000000001" customHeight="1">
      <c r="A161" s="620" t="s">
        <v>452</v>
      </c>
      <c r="B161" s="227"/>
      <c r="C161" s="227"/>
      <c r="D161" s="227"/>
      <c r="E161" s="227"/>
      <c r="F161" s="233" t="s">
        <v>453</v>
      </c>
      <c r="G161" s="570">
        <v>0</v>
      </c>
      <c r="H161" s="220"/>
    </row>
    <row r="162" spans="1:8" ht="20.100000000000001" customHeight="1">
      <c r="A162" s="620" t="s">
        <v>454</v>
      </c>
      <c r="B162" s="227"/>
      <c r="C162" s="227"/>
      <c r="D162" s="227"/>
      <c r="E162" s="227"/>
      <c r="F162" s="233" t="s">
        <v>455</v>
      </c>
      <c r="G162" s="570">
        <v>16245269</v>
      </c>
      <c r="H162" s="220"/>
    </row>
    <row r="163" spans="1:8" ht="20.100000000000001" customHeight="1">
      <c r="A163" s="620" t="s">
        <v>456</v>
      </c>
      <c r="B163" s="227"/>
      <c r="C163" s="227"/>
      <c r="D163" s="227"/>
      <c r="E163" s="227"/>
      <c r="F163" s="233" t="s">
        <v>457</v>
      </c>
      <c r="G163" s="570">
        <v>16533</v>
      </c>
      <c r="H163" s="220"/>
    </row>
    <row r="164" spans="1:8" ht="20.100000000000001" customHeight="1">
      <c r="A164" s="620" t="s">
        <v>458</v>
      </c>
      <c r="B164" s="227"/>
      <c r="C164" s="227"/>
      <c r="D164" s="227"/>
      <c r="E164" s="227"/>
      <c r="F164" s="233" t="s">
        <v>459</v>
      </c>
      <c r="G164" s="570">
        <v>0</v>
      </c>
      <c r="H164" s="220"/>
    </row>
    <row r="165" spans="1:8" ht="20.100000000000001" customHeight="1">
      <c r="A165" s="620" t="s">
        <v>460</v>
      </c>
      <c r="B165" s="227"/>
      <c r="C165" s="227"/>
      <c r="D165" s="227"/>
      <c r="E165" s="227"/>
      <c r="F165" s="233" t="s">
        <v>461</v>
      </c>
      <c r="G165" s="570">
        <v>0</v>
      </c>
      <c r="H165" s="220"/>
    </row>
    <row r="166" spans="1:8" ht="20.100000000000001" customHeight="1">
      <c r="A166" s="620" t="s">
        <v>462</v>
      </c>
      <c r="B166" s="227"/>
      <c r="C166" s="227"/>
      <c r="D166" s="227"/>
      <c r="E166" s="227"/>
      <c r="F166" s="233" t="s">
        <v>463</v>
      </c>
      <c r="G166" s="570">
        <v>24306</v>
      </c>
      <c r="H166" s="220"/>
    </row>
    <row r="167" spans="1:8" ht="20.100000000000001" customHeight="1">
      <c r="A167" s="620" t="s">
        <v>464</v>
      </c>
      <c r="B167" s="227"/>
      <c r="C167" s="227"/>
      <c r="D167" s="227"/>
      <c r="E167" s="227"/>
      <c r="F167" s="233" t="s">
        <v>465</v>
      </c>
      <c r="G167" s="570">
        <v>16084258</v>
      </c>
      <c r="H167" s="220"/>
    </row>
    <row r="168" spans="1:8" ht="20.100000000000001" customHeight="1">
      <c r="A168" s="620" t="s">
        <v>466</v>
      </c>
      <c r="B168" s="227"/>
      <c r="C168" s="227"/>
      <c r="D168" s="227"/>
      <c r="E168" s="227"/>
      <c r="F168" s="233" t="s">
        <v>467</v>
      </c>
      <c r="G168" s="570">
        <v>327000</v>
      </c>
      <c r="H168" s="220"/>
    </row>
    <row r="169" spans="1:8" ht="20.100000000000001" customHeight="1">
      <c r="A169" s="620" t="s">
        <v>468</v>
      </c>
      <c r="B169" s="227"/>
      <c r="C169" s="227"/>
      <c r="D169" s="227"/>
      <c r="E169" s="227"/>
      <c r="F169" s="233" t="s">
        <v>469</v>
      </c>
      <c r="G169" s="570">
        <v>127600</v>
      </c>
      <c r="H169" s="220"/>
    </row>
    <row r="170" spans="1:8" ht="20.100000000000001" customHeight="1">
      <c r="A170" s="620" t="s">
        <v>470</v>
      </c>
      <c r="B170" s="227"/>
      <c r="C170" s="227"/>
      <c r="D170" s="227"/>
      <c r="E170" s="227"/>
      <c r="F170" s="233" t="s">
        <v>471</v>
      </c>
      <c r="G170" s="570">
        <v>0</v>
      </c>
      <c r="H170" s="220"/>
    </row>
    <row r="171" spans="1:8" ht="20.100000000000001" customHeight="1">
      <c r="A171" s="620" t="s">
        <v>472</v>
      </c>
      <c r="B171" s="227"/>
      <c r="C171" s="227"/>
      <c r="D171" s="227"/>
      <c r="E171" s="227"/>
      <c r="F171" s="233" t="s">
        <v>473</v>
      </c>
      <c r="G171" s="570">
        <v>8382300</v>
      </c>
      <c r="H171" s="220"/>
    </row>
    <row r="172" spans="1:8" ht="20.100000000000001" customHeight="1">
      <c r="A172" s="620" t="s">
        <v>474</v>
      </c>
      <c r="B172" s="227"/>
      <c r="C172" s="227"/>
      <c r="D172" s="227"/>
      <c r="E172" s="227"/>
      <c r="F172" s="236">
        <v>56001</v>
      </c>
      <c r="G172" s="570">
        <v>0</v>
      </c>
      <c r="H172" s="220"/>
    </row>
    <row r="173" spans="1:8" ht="20.100000000000001" customHeight="1">
      <c r="A173" s="620" t="s">
        <v>475</v>
      </c>
      <c r="B173" s="227"/>
      <c r="C173" s="227"/>
      <c r="D173" s="227"/>
      <c r="E173" s="227"/>
      <c r="F173" s="236">
        <v>56002</v>
      </c>
      <c r="G173" s="570">
        <v>0</v>
      </c>
      <c r="H173" s="220"/>
    </row>
    <row r="174" spans="1:8" ht="20.100000000000001" customHeight="1">
      <c r="A174" s="620" t="s">
        <v>476</v>
      </c>
      <c r="B174" s="227"/>
      <c r="C174" s="227"/>
      <c r="D174" s="227"/>
      <c r="E174" s="227"/>
      <c r="F174" s="236">
        <v>56003</v>
      </c>
      <c r="G174" s="570">
        <v>0</v>
      </c>
      <c r="H174" s="220"/>
    </row>
    <row r="175" spans="1:8" ht="20.100000000000001" customHeight="1">
      <c r="A175" s="620" t="s">
        <v>477</v>
      </c>
      <c r="B175" s="227"/>
      <c r="C175" s="227"/>
      <c r="D175" s="227"/>
      <c r="E175" s="227"/>
      <c r="F175" s="258" t="s">
        <v>478</v>
      </c>
      <c r="G175" s="570">
        <v>0</v>
      </c>
      <c r="H175" s="220"/>
    </row>
    <row r="176" spans="1:8" ht="20.100000000000001" customHeight="1">
      <c r="A176" s="620" t="s">
        <v>479</v>
      </c>
      <c r="B176" s="227"/>
      <c r="C176" s="227"/>
      <c r="D176" s="227"/>
      <c r="E176" s="227"/>
      <c r="F176" s="233" t="s">
        <v>480</v>
      </c>
      <c r="G176" s="570">
        <v>0</v>
      </c>
      <c r="H176" s="220"/>
    </row>
    <row r="177" spans="1:8" ht="20.100000000000001" customHeight="1">
      <c r="A177" s="629" t="s">
        <v>481</v>
      </c>
      <c r="B177" s="220"/>
      <c r="C177" s="220"/>
      <c r="D177" s="220"/>
      <c r="E177" s="220"/>
      <c r="F177" s="254" t="s">
        <v>482</v>
      </c>
      <c r="G177" s="570">
        <v>337454</v>
      </c>
      <c r="H177" s="220"/>
    </row>
    <row r="178" spans="1:8" ht="20.100000000000001" customHeight="1">
      <c r="A178" s="620" t="s">
        <v>483</v>
      </c>
      <c r="B178" s="227"/>
      <c r="C178" s="227"/>
      <c r="D178" s="227"/>
      <c r="E178" s="227"/>
      <c r="F178" s="233" t="s">
        <v>484</v>
      </c>
      <c r="G178" s="570">
        <v>1225600</v>
      </c>
      <c r="H178" s="220"/>
    </row>
    <row r="179" spans="1:8" ht="20.100000000000001" customHeight="1">
      <c r="A179" s="620" t="s">
        <v>485</v>
      </c>
      <c r="B179" s="227"/>
      <c r="C179" s="227"/>
      <c r="D179" s="227"/>
      <c r="E179" s="227"/>
      <c r="F179" s="233" t="s">
        <v>486</v>
      </c>
      <c r="G179" s="570">
        <v>0</v>
      </c>
      <c r="H179" s="220"/>
    </row>
    <row r="180" spans="1:8" ht="20.100000000000001" customHeight="1">
      <c r="A180" s="620" t="s">
        <v>487</v>
      </c>
      <c r="B180" s="227"/>
      <c r="C180" s="227"/>
      <c r="D180" s="227"/>
      <c r="E180" s="227"/>
      <c r="F180" s="233" t="s">
        <v>488</v>
      </c>
      <c r="G180" s="570">
        <v>0</v>
      </c>
      <c r="H180" s="220"/>
    </row>
    <row r="181" spans="1:8" ht="20.100000000000001" customHeight="1">
      <c r="A181" s="620" t="s">
        <v>489</v>
      </c>
      <c r="B181" s="227"/>
      <c r="C181" s="227"/>
      <c r="D181" s="227"/>
      <c r="E181" s="227"/>
      <c r="F181" s="233" t="s">
        <v>490</v>
      </c>
      <c r="G181" s="570">
        <v>0</v>
      </c>
      <c r="H181" s="220"/>
    </row>
    <row r="182" spans="1:8" ht="20.100000000000001" customHeight="1">
      <c r="A182" s="620" t="s">
        <v>491</v>
      </c>
      <c r="B182" s="227"/>
      <c r="C182" s="227"/>
      <c r="D182" s="227"/>
      <c r="E182" s="227"/>
      <c r="F182" s="233" t="s">
        <v>492</v>
      </c>
      <c r="G182" s="570">
        <v>422851</v>
      </c>
      <c r="H182" s="220"/>
    </row>
    <row r="183" spans="1:8" ht="20.100000000000001" customHeight="1">
      <c r="A183" s="620" t="s">
        <v>493</v>
      </c>
      <c r="B183" s="227"/>
      <c r="C183" s="227"/>
      <c r="D183" s="227"/>
      <c r="E183" s="227"/>
      <c r="F183" s="233" t="s">
        <v>494</v>
      </c>
      <c r="G183" s="570">
        <v>0</v>
      </c>
      <c r="H183" s="220"/>
    </row>
    <row r="184" spans="1:8" ht="20.100000000000001" customHeight="1">
      <c r="A184" s="620" t="s">
        <v>495</v>
      </c>
      <c r="B184" s="227"/>
      <c r="C184" s="227"/>
      <c r="D184" s="227"/>
      <c r="E184" s="227"/>
      <c r="F184" s="233" t="s">
        <v>496</v>
      </c>
      <c r="G184" s="570">
        <v>20000</v>
      </c>
      <c r="H184" s="220"/>
    </row>
    <row r="185" spans="1:8" ht="20.100000000000001" customHeight="1">
      <c r="A185" s="620" t="s">
        <v>497</v>
      </c>
      <c r="B185" s="227"/>
      <c r="C185" s="227"/>
      <c r="D185" s="227"/>
      <c r="E185" s="227"/>
      <c r="F185" s="233" t="s">
        <v>498</v>
      </c>
      <c r="G185" s="570">
        <v>5073229</v>
      </c>
      <c r="H185" s="220"/>
    </row>
    <row r="186" spans="1:8" ht="20.100000000000001" customHeight="1">
      <c r="A186" s="620" t="s">
        <v>499</v>
      </c>
      <c r="B186" s="227"/>
      <c r="C186" s="227"/>
      <c r="D186" s="227"/>
      <c r="E186" s="227"/>
      <c r="F186" s="233" t="s">
        <v>500</v>
      </c>
      <c r="G186" s="570">
        <v>7137130</v>
      </c>
      <c r="H186" s="220"/>
    </row>
    <row r="187" spans="1:8" ht="20.100000000000001" customHeight="1">
      <c r="A187" s="620" t="s">
        <v>501</v>
      </c>
      <c r="B187" s="227"/>
      <c r="C187" s="227"/>
      <c r="D187" s="227"/>
      <c r="E187" s="227"/>
      <c r="F187" s="233" t="s">
        <v>502</v>
      </c>
      <c r="G187" s="570">
        <v>771000</v>
      </c>
      <c r="H187" s="220"/>
    </row>
    <row r="188" spans="1:8" ht="20.100000000000001" customHeight="1">
      <c r="A188" s="620" t="s">
        <v>503</v>
      </c>
      <c r="B188" s="227"/>
      <c r="C188" s="227"/>
      <c r="D188" s="227"/>
      <c r="E188" s="227"/>
      <c r="F188" s="233" t="s">
        <v>504</v>
      </c>
      <c r="G188" s="570">
        <v>0</v>
      </c>
      <c r="H188" s="220"/>
    </row>
    <row r="189" spans="1:8" ht="20.100000000000001" customHeight="1">
      <c r="A189" s="620" t="s">
        <v>505</v>
      </c>
      <c r="B189" s="227"/>
      <c r="C189" s="227"/>
      <c r="D189" s="227"/>
      <c r="E189" s="227"/>
      <c r="F189" s="233" t="s">
        <v>506</v>
      </c>
      <c r="G189" s="570">
        <v>45000</v>
      </c>
      <c r="H189" s="220"/>
    </row>
    <row r="190" spans="1:8" ht="20.100000000000001" customHeight="1">
      <c r="A190" s="620" t="s">
        <v>507</v>
      </c>
      <c r="B190" s="227"/>
      <c r="C190" s="227"/>
      <c r="D190" s="227"/>
      <c r="E190" s="227"/>
      <c r="F190" s="259">
        <v>59600</v>
      </c>
      <c r="G190" s="570">
        <v>0</v>
      </c>
      <c r="H190" s="220"/>
    </row>
    <row r="191" spans="1:8" ht="20.100000000000001" customHeight="1">
      <c r="A191" s="620" t="s">
        <v>508</v>
      </c>
      <c r="B191" s="227"/>
      <c r="C191" s="227"/>
      <c r="D191" s="227"/>
      <c r="E191" s="227"/>
      <c r="F191" s="233" t="s">
        <v>509</v>
      </c>
      <c r="G191" s="570">
        <v>15370589</v>
      </c>
      <c r="H191" s="220"/>
    </row>
    <row r="192" spans="1:8" ht="20.100000000000001" customHeight="1">
      <c r="A192" s="620" t="s">
        <v>510</v>
      </c>
      <c r="B192" s="227"/>
      <c r="C192" s="227"/>
      <c r="D192" s="227"/>
      <c r="E192" s="227"/>
      <c r="F192" s="233" t="s">
        <v>511</v>
      </c>
      <c r="G192" s="570">
        <v>227732</v>
      </c>
      <c r="H192" s="220"/>
    </row>
    <row r="193" spans="1:8" ht="20.100000000000001" customHeight="1">
      <c r="A193" s="620" t="s">
        <v>512</v>
      </c>
      <c r="B193" s="227"/>
      <c r="C193" s="227"/>
      <c r="D193" s="227"/>
      <c r="E193" s="227"/>
      <c r="F193" s="233" t="s">
        <v>513</v>
      </c>
      <c r="G193" s="570">
        <v>882198</v>
      </c>
      <c r="H193" s="220"/>
    </row>
    <row r="194" spans="1:8" ht="20.100000000000001" customHeight="1">
      <c r="A194" s="620"/>
      <c r="B194" s="227"/>
      <c r="C194" s="227"/>
      <c r="D194" s="227"/>
      <c r="E194" s="227"/>
      <c r="F194" s="233"/>
      <c r="G194" s="872"/>
      <c r="H194" s="220"/>
    </row>
    <row r="195" spans="1:8" ht="20.100000000000001" customHeight="1">
      <c r="A195" s="636" t="s">
        <v>514</v>
      </c>
      <c r="B195" s="637"/>
      <c r="C195" s="637"/>
      <c r="D195" s="637"/>
      <c r="E195" s="637"/>
      <c r="F195" s="650"/>
      <c r="G195" s="651">
        <f>SUM(G147:G193)</f>
        <v>110596918</v>
      </c>
      <c r="H195" s="220"/>
    </row>
    <row r="196" spans="1:8" ht="20.100000000000001" customHeight="1">
      <c r="A196" s="633"/>
      <c r="B196" s="260"/>
      <c r="C196" s="260"/>
      <c r="D196" s="260"/>
      <c r="E196" s="260"/>
      <c r="F196" s="279"/>
      <c r="G196" s="261"/>
      <c r="H196" s="220"/>
    </row>
    <row r="197" spans="1:8" ht="20.100000000000001" customHeight="1">
      <c r="A197" s="873" t="s">
        <v>515</v>
      </c>
      <c r="B197" s="743"/>
      <c r="C197" s="743"/>
      <c r="D197" s="743"/>
      <c r="E197" s="743"/>
      <c r="F197" s="858"/>
      <c r="G197" s="874"/>
      <c r="H197" s="220"/>
    </row>
    <row r="198" spans="1:8" ht="20.100000000000001" customHeight="1">
      <c r="A198" s="620"/>
      <c r="B198" s="227"/>
      <c r="C198" s="227"/>
      <c r="D198" s="227"/>
      <c r="E198" s="227"/>
      <c r="F198" s="233"/>
      <c r="G198" s="257"/>
      <c r="H198" s="220"/>
    </row>
    <row r="199" spans="1:8" ht="20.100000000000001" customHeight="1">
      <c r="A199" s="620" t="s">
        <v>516</v>
      </c>
      <c r="B199" s="227"/>
      <c r="C199" s="227"/>
      <c r="D199" s="227"/>
      <c r="E199" s="227"/>
      <c r="F199" s="233" t="s">
        <v>517</v>
      </c>
      <c r="G199" s="570">
        <v>499219</v>
      </c>
      <c r="H199" s="220"/>
    </row>
    <row r="200" spans="1:8" ht="20.100000000000001" customHeight="1">
      <c r="A200" s="620" t="s">
        <v>518</v>
      </c>
      <c r="B200" s="227"/>
      <c r="C200" s="227"/>
      <c r="D200" s="227"/>
      <c r="E200" s="227"/>
      <c r="F200" s="233" t="s">
        <v>519</v>
      </c>
      <c r="G200" s="570">
        <v>195354</v>
      </c>
      <c r="H200" s="220"/>
    </row>
    <row r="201" spans="1:8" ht="20.100000000000001" customHeight="1">
      <c r="A201" s="620" t="s">
        <v>520</v>
      </c>
      <c r="B201" s="227"/>
      <c r="C201" s="227"/>
      <c r="D201" s="227"/>
      <c r="E201" s="227"/>
      <c r="F201" s="233" t="s">
        <v>521</v>
      </c>
      <c r="G201" s="570">
        <v>764299</v>
      </c>
      <c r="H201" s="220"/>
    </row>
    <row r="202" spans="1:8" ht="20.100000000000001" customHeight="1">
      <c r="A202" s="620" t="s">
        <v>522</v>
      </c>
      <c r="B202" s="227"/>
      <c r="C202" s="227"/>
      <c r="D202" s="227"/>
      <c r="E202" s="227"/>
      <c r="F202" s="233" t="s">
        <v>523</v>
      </c>
      <c r="G202" s="570">
        <v>276157</v>
      </c>
      <c r="H202" s="220"/>
    </row>
    <row r="203" spans="1:8" ht="20.100000000000001" customHeight="1">
      <c r="A203" s="620" t="s">
        <v>524</v>
      </c>
      <c r="B203" s="227"/>
      <c r="C203" s="227"/>
      <c r="D203" s="227"/>
      <c r="E203" s="227"/>
      <c r="F203" s="233" t="s">
        <v>525</v>
      </c>
      <c r="G203" s="570">
        <v>1235376</v>
      </c>
      <c r="H203" s="220"/>
    </row>
    <row r="204" spans="1:8" ht="20.100000000000001" customHeight="1">
      <c r="A204" s="620" t="s">
        <v>526</v>
      </c>
      <c r="B204" s="227"/>
      <c r="C204" s="227"/>
      <c r="D204" s="227"/>
      <c r="E204" s="227"/>
      <c r="F204" s="233" t="s">
        <v>527</v>
      </c>
      <c r="G204" s="570">
        <v>141333</v>
      </c>
      <c r="H204" s="220"/>
    </row>
    <row r="205" spans="1:8" ht="20.100000000000001" customHeight="1">
      <c r="A205" s="620" t="s">
        <v>782</v>
      </c>
      <c r="B205" s="227"/>
      <c r="C205" s="227"/>
      <c r="D205" s="227"/>
      <c r="E205" s="227"/>
      <c r="F205" s="1201">
        <v>63100</v>
      </c>
      <c r="G205" s="570">
        <v>692184</v>
      </c>
      <c r="H205" s="220"/>
    </row>
    <row r="206" spans="1:8" ht="20.100000000000001" customHeight="1">
      <c r="A206" s="620" t="s">
        <v>528</v>
      </c>
      <c r="B206" s="227"/>
      <c r="C206" s="227"/>
      <c r="D206" s="227"/>
      <c r="E206" s="227"/>
      <c r="F206" s="233" t="s">
        <v>529</v>
      </c>
      <c r="G206" s="570">
        <v>3098779</v>
      </c>
      <c r="H206" s="220"/>
    </row>
    <row r="207" spans="1:8" ht="20.100000000000001" customHeight="1">
      <c r="A207" s="620" t="s">
        <v>530</v>
      </c>
      <c r="B207" s="227"/>
      <c r="C207" s="227"/>
      <c r="D207" s="227"/>
      <c r="E207" s="227"/>
      <c r="F207" s="233" t="s">
        <v>531</v>
      </c>
      <c r="G207" s="570"/>
      <c r="H207" s="220"/>
    </row>
    <row r="208" spans="1:8" ht="20.100000000000001" customHeight="1">
      <c r="A208" s="620" t="s">
        <v>532</v>
      </c>
      <c r="B208" s="227"/>
      <c r="C208" s="227"/>
      <c r="D208" s="227"/>
      <c r="E208" s="227"/>
      <c r="F208" s="233" t="s">
        <v>533</v>
      </c>
      <c r="G208" s="570">
        <v>174794</v>
      </c>
      <c r="H208" s="220"/>
    </row>
    <row r="209" spans="1:8" ht="20.100000000000001" customHeight="1">
      <c r="A209" s="620" t="s">
        <v>534</v>
      </c>
      <c r="B209" s="227"/>
      <c r="C209" s="227"/>
      <c r="D209" s="227"/>
      <c r="E209" s="227"/>
      <c r="F209" s="233" t="s">
        <v>535</v>
      </c>
      <c r="G209" s="570">
        <v>500000</v>
      </c>
      <c r="H209" s="220"/>
    </row>
    <row r="210" spans="1:8" ht="20.100000000000001" customHeight="1">
      <c r="A210" s="620" t="s">
        <v>536</v>
      </c>
      <c r="B210" s="227"/>
      <c r="C210" s="227"/>
      <c r="D210" s="227"/>
      <c r="E210" s="227"/>
      <c r="F210" s="233" t="s">
        <v>537</v>
      </c>
      <c r="G210" s="570">
        <v>4300000</v>
      </c>
      <c r="H210" s="220"/>
    </row>
    <row r="211" spans="1:8" ht="20.100000000000001" customHeight="1">
      <c r="A211" s="620" t="s">
        <v>538</v>
      </c>
      <c r="B211" s="227"/>
      <c r="C211" s="227"/>
      <c r="D211" s="227"/>
      <c r="E211" s="227"/>
      <c r="F211" s="233" t="s">
        <v>539</v>
      </c>
      <c r="G211" s="570">
        <v>0</v>
      </c>
      <c r="H211" s="220"/>
    </row>
    <row r="212" spans="1:8" ht="20.100000000000001" customHeight="1">
      <c r="A212" s="620" t="s">
        <v>540</v>
      </c>
      <c r="B212" s="227"/>
      <c r="C212" s="227"/>
      <c r="D212" s="227"/>
      <c r="E212" s="227"/>
      <c r="F212" s="233" t="s">
        <v>541</v>
      </c>
      <c r="G212" s="570">
        <v>0</v>
      </c>
      <c r="H212" s="220"/>
    </row>
    <row r="213" spans="1:8" ht="20.100000000000001" customHeight="1">
      <c r="A213" s="620" t="s">
        <v>542</v>
      </c>
      <c r="B213" s="220"/>
      <c r="C213" s="220"/>
      <c r="D213" s="220"/>
      <c r="E213" s="220"/>
      <c r="F213" s="233" t="s">
        <v>543</v>
      </c>
      <c r="G213" s="570">
        <v>250</v>
      </c>
      <c r="H213" s="220"/>
    </row>
    <row r="214" spans="1:8" ht="20.100000000000001" customHeight="1">
      <c r="A214" s="620" t="s">
        <v>544</v>
      </c>
      <c r="B214" s="220"/>
      <c r="C214" s="220"/>
      <c r="D214" s="220"/>
      <c r="E214" s="220"/>
      <c r="F214" s="236">
        <v>64007</v>
      </c>
      <c r="G214" s="570">
        <v>0</v>
      </c>
      <c r="H214" s="220"/>
    </row>
    <row r="215" spans="1:8" ht="20.100000000000001" customHeight="1">
      <c r="A215" s="620" t="s">
        <v>545</v>
      </c>
      <c r="B215" s="227"/>
      <c r="C215" s="227"/>
      <c r="D215" s="227"/>
      <c r="E215" s="227"/>
      <c r="F215" s="233" t="s">
        <v>546</v>
      </c>
      <c r="G215" s="570">
        <v>2952870</v>
      </c>
      <c r="H215" s="220"/>
    </row>
    <row r="216" spans="1:8" ht="20.100000000000001" customHeight="1">
      <c r="A216" s="620" t="s">
        <v>737</v>
      </c>
      <c r="B216" s="227"/>
      <c r="C216" s="227"/>
      <c r="D216" s="227"/>
      <c r="E216" s="227"/>
      <c r="F216" s="233" t="s">
        <v>547</v>
      </c>
      <c r="G216" s="570">
        <v>0</v>
      </c>
      <c r="H216" s="220"/>
    </row>
    <row r="217" spans="1:8" ht="20.100000000000001" customHeight="1">
      <c r="A217" s="620" t="s">
        <v>548</v>
      </c>
      <c r="B217" s="227"/>
      <c r="C217" s="227"/>
      <c r="D217" s="227"/>
      <c r="E217" s="227"/>
      <c r="F217" s="233" t="s">
        <v>549</v>
      </c>
      <c r="G217" s="570">
        <v>0</v>
      </c>
      <c r="H217" s="220"/>
    </row>
    <row r="218" spans="1:8" ht="20.100000000000001" customHeight="1">
      <c r="A218" s="620" t="s">
        <v>550</v>
      </c>
      <c r="B218" s="227"/>
      <c r="C218" s="227"/>
      <c r="D218" s="227"/>
      <c r="E218" s="227"/>
      <c r="F218" s="233" t="s">
        <v>551</v>
      </c>
      <c r="G218" s="570">
        <v>4120563</v>
      </c>
      <c r="H218" s="220"/>
    </row>
    <row r="219" spans="1:8" ht="20.100000000000001" customHeight="1">
      <c r="A219" s="620" t="s">
        <v>552</v>
      </c>
      <c r="B219" s="227"/>
      <c r="C219" s="227"/>
      <c r="D219" s="227"/>
      <c r="E219" s="227"/>
      <c r="F219" s="233" t="s">
        <v>553</v>
      </c>
      <c r="G219" s="570">
        <v>2210718</v>
      </c>
      <c r="H219" s="220"/>
    </row>
    <row r="220" spans="1:8" ht="20.100000000000001" customHeight="1">
      <c r="A220" s="620" t="s">
        <v>554</v>
      </c>
      <c r="B220" s="220"/>
      <c r="C220" s="220"/>
      <c r="D220" s="220"/>
      <c r="E220" s="220"/>
      <c r="F220" s="254" t="s">
        <v>555</v>
      </c>
      <c r="G220" s="570">
        <v>2341741</v>
      </c>
      <c r="H220" s="220"/>
    </row>
    <row r="221" spans="1:8" ht="20.100000000000001" customHeight="1">
      <c r="A221" s="620" t="s">
        <v>556</v>
      </c>
      <c r="B221" s="227"/>
      <c r="C221" s="227"/>
      <c r="D221" s="227"/>
      <c r="E221" s="227"/>
      <c r="F221" s="233" t="s">
        <v>557</v>
      </c>
      <c r="G221" s="570">
        <v>675167</v>
      </c>
      <c r="H221" s="220"/>
    </row>
    <row r="222" spans="1:8" ht="20.100000000000001" customHeight="1">
      <c r="A222" s="620" t="s">
        <v>558</v>
      </c>
      <c r="B222" s="227"/>
      <c r="C222" s="227"/>
      <c r="D222" s="227"/>
      <c r="E222" s="227"/>
      <c r="F222" s="233" t="s">
        <v>559</v>
      </c>
      <c r="G222" s="570">
        <v>1095859</v>
      </c>
      <c r="H222" s="220"/>
    </row>
    <row r="223" spans="1:8" ht="20.100000000000001" customHeight="1">
      <c r="A223" s="621" t="s">
        <v>560</v>
      </c>
      <c r="B223" s="230"/>
      <c r="C223" s="230"/>
      <c r="D223" s="230"/>
      <c r="E223" s="230"/>
      <c r="F223" s="246" t="s">
        <v>561</v>
      </c>
      <c r="G223" s="570">
        <v>279800</v>
      </c>
      <c r="H223" s="220"/>
    </row>
    <row r="224" spans="1:8" ht="20.100000000000001" customHeight="1">
      <c r="A224" s="620" t="s">
        <v>562</v>
      </c>
      <c r="B224" s="227"/>
      <c r="C224" s="227"/>
      <c r="D224" s="227"/>
      <c r="E224" s="227"/>
      <c r="F224" s="251" t="s">
        <v>563</v>
      </c>
      <c r="G224" s="570">
        <v>11975</v>
      </c>
      <c r="H224" s="220"/>
    </row>
    <row r="225" spans="1:9" ht="20.100000000000001" customHeight="1">
      <c r="A225" s="620" t="s">
        <v>564</v>
      </c>
      <c r="B225" s="227"/>
      <c r="C225" s="227"/>
      <c r="D225" s="227"/>
      <c r="E225" s="227"/>
      <c r="F225" s="233" t="s">
        <v>565</v>
      </c>
      <c r="G225" s="570">
        <v>21818</v>
      </c>
      <c r="H225" s="220"/>
    </row>
    <row r="226" spans="1:9" ht="20.100000000000001" customHeight="1">
      <c r="A226" s="620" t="s">
        <v>566</v>
      </c>
      <c r="B226" s="227"/>
      <c r="C226" s="227"/>
      <c r="D226" s="227"/>
      <c r="E226" s="227"/>
      <c r="F226" s="233" t="s">
        <v>567</v>
      </c>
      <c r="G226" s="570">
        <v>0</v>
      </c>
      <c r="H226" s="220"/>
    </row>
    <row r="227" spans="1:9" ht="20.100000000000001" customHeight="1">
      <c r="A227" s="620" t="s">
        <v>568</v>
      </c>
      <c r="B227" s="227"/>
      <c r="C227" s="227"/>
      <c r="D227" s="227"/>
      <c r="E227" s="227"/>
      <c r="F227" s="233" t="s">
        <v>569</v>
      </c>
      <c r="G227" s="570">
        <v>2443857</v>
      </c>
      <c r="H227" s="220"/>
    </row>
    <row r="228" spans="1:9" ht="20.100000000000001" customHeight="1">
      <c r="A228" s="620" t="s">
        <v>570</v>
      </c>
      <c r="B228" s="227"/>
      <c r="C228" s="227"/>
      <c r="D228" s="227"/>
      <c r="E228" s="227"/>
      <c r="F228" s="233" t="s">
        <v>571</v>
      </c>
      <c r="G228" s="570">
        <v>0</v>
      </c>
      <c r="H228" s="220"/>
    </row>
    <row r="229" spans="1:9" ht="20.100000000000001" customHeight="1">
      <c r="A229" s="620" t="s">
        <v>572</v>
      </c>
      <c r="B229" s="227"/>
      <c r="C229" s="227"/>
      <c r="D229" s="227"/>
      <c r="E229" s="227"/>
      <c r="F229" s="233" t="s">
        <v>573</v>
      </c>
      <c r="G229" s="570">
        <v>0</v>
      </c>
      <c r="H229" s="220"/>
    </row>
    <row r="230" spans="1:9" ht="20.100000000000001" customHeight="1">
      <c r="A230" s="634" t="s">
        <v>574</v>
      </c>
      <c r="B230" s="227"/>
      <c r="C230" s="227"/>
      <c r="D230" s="262"/>
      <c r="E230" s="227"/>
      <c r="F230" s="263" t="s">
        <v>575</v>
      </c>
      <c r="G230" s="570">
        <v>660813</v>
      </c>
      <c r="H230" s="220"/>
    </row>
    <row r="231" spans="1:9" ht="20.100000000000001" customHeight="1">
      <c r="A231" s="634" t="s">
        <v>576</v>
      </c>
      <c r="B231" s="264"/>
      <c r="C231" s="264"/>
      <c r="D231" s="265"/>
      <c r="E231" s="264"/>
      <c r="F231" s="266" t="s">
        <v>577</v>
      </c>
      <c r="G231" s="570">
        <v>0</v>
      </c>
      <c r="H231" s="220"/>
    </row>
    <row r="232" spans="1:9" ht="20.100000000000001" customHeight="1">
      <c r="A232" s="634" t="s">
        <v>578</v>
      </c>
      <c r="B232" s="264"/>
      <c r="C232" s="264"/>
      <c r="D232" s="265"/>
      <c r="E232" s="264"/>
      <c r="F232" s="266" t="s">
        <v>579</v>
      </c>
      <c r="G232" s="570">
        <v>0</v>
      </c>
      <c r="H232" s="220"/>
    </row>
    <row r="233" spans="1:9" ht="20.100000000000001" customHeight="1">
      <c r="A233" s="634" t="s">
        <v>580</v>
      </c>
      <c r="B233" s="264"/>
      <c r="C233" s="264"/>
      <c r="D233" s="265"/>
      <c r="E233" s="264"/>
      <c r="F233" s="267" t="s">
        <v>581</v>
      </c>
      <c r="G233" s="570"/>
      <c r="H233" s="220"/>
    </row>
    <row r="234" spans="1:9" ht="20.100000000000001" customHeight="1">
      <c r="A234" s="634" t="s">
        <v>582</v>
      </c>
      <c r="B234" s="264"/>
      <c r="C234" s="264"/>
      <c r="D234" s="265"/>
      <c r="E234" s="264"/>
      <c r="F234" s="268">
        <v>69270</v>
      </c>
      <c r="G234" s="570">
        <v>0</v>
      </c>
      <c r="H234" s="220"/>
    </row>
    <row r="235" spans="1:9" ht="20.100000000000001" customHeight="1">
      <c r="A235" s="620" t="s">
        <v>583</v>
      </c>
      <c r="B235" s="227"/>
      <c r="C235" s="227"/>
      <c r="D235" s="227"/>
      <c r="E235" s="227"/>
      <c r="F235" s="233" t="s">
        <v>584</v>
      </c>
      <c r="G235" s="570">
        <v>1845101</v>
      </c>
      <c r="H235" s="220"/>
      <c r="I235" s="269"/>
    </row>
    <row r="236" spans="1:9" ht="20.100000000000001" customHeight="1">
      <c r="A236" s="620" t="s">
        <v>585</v>
      </c>
      <c r="B236" s="227"/>
      <c r="C236" s="227"/>
      <c r="D236" s="227"/>
      <c r="E236" s="227"/>
      <c r="F236" s="233" t="s">
        <v>586</v>
      </c>
      <c r="G236" s="570">
        <v>0</v>
      </c>
      <c r="H236" s="220"/>
    </row>
    <row r="237" spans="1:9" ht="20.100000000000001" customHeight="1">
      <c r="A237" s="620" t="s">
        <v>587</v>
      </c>
      <c r="B237" s="227"/>
      <c r="C237" s="227"/>
      <c r="D237" s="227"/>
      <c r="E237" s="227"/>
      <c r="F237" s="233" t="s">
        <v>588</v>
      </c>
      <c r="G237" s="570">
        <v>4316972</v>
      </c>
      <c r="H237" s="220"/>
    </row>
    <row r="238" spans="1:9" ht="20.100000000000001" customHeight="1">
      <c r="A238" s="620"/>
      <c r="B238" s="227"/>
      <c r="C238" s="227"/>
      <c r="D238" s="227"/>
      <c r="E238" s="227"/>
      <c r="F238" s="233"/>
      <c r="G238" s="270"/>
      <c r="H238" s="220"/>
    </row>
    <row r="239" spans="1:9" ht="20.100000000000001" customHeight="1">
      <c r="A239" s="869" t="s">
        <v>589</v>
      </c>
      <c r="B239" s="703"/>
      <c r="C239" s="703"/>
      <c r="D239" s="703"/>
      <c r="E239" s="703"/>
      <c r="F239" s="704"/>
      <c r="G239" s="762">
        <f>SUM(G199:G237)</f>
        <v>34854999</v>
      </c>
      <c r="H239" s="220"/>
    </row>
    <row r="240" spans="1:9" ht="20.100000000000001" customHeight="1">
      <c r="A240" s="633"/>
      <c r="B240" s="260"/>
      <c r="C240" s="260"/>
      <c r="D240" s="260"/>
      <c r="E240" s="260"/>
      <c r="F240" s="708"/>
      <c r="G240" s="709"/>
      <c r="H240" s="220"/>
    </row>
    <row r="241" spans="1:10" ht="20.100000000000001" customHeight="1">
      <c r="A241" s="1006" t="s">
        <v>170</v>
      </c>
      <c r="B241" s="1007"/>
      <c r="C241" s="1007"/>
      <c r="D241" s="1007"/>
      <c r="E241" s="1007"/>
      <c r="F241" s="1008"/>
      <c r="G241" s="875"/>
      <c r="H241" s="220"/>
    </row>
    <row r="242" spans="1:10" ht="20.100000000000001" customHeight="1">
      <c r="A242" s="620"/>
      <c r="B242" s="227"/>
      <c r="C242" s="227"/>
      <c r="D242" s="227"/>
      <c r="E242" s="227"/>
      <c r="F242" s="233"/>
      <c r="G242" s="270"/>
      <c r="H242" s="220"/>
    </row>
    <row r="243" spans="1:10" ht="20.100000000000001" customHeight="1">
      <c r="A243" s="621" t="s">
        <v>590</v>
      </c>
      <c r="B243" s="230"/>
      <c r="C243" s="230"/>
      <c r="D243" s="230"/>
      <c r="E243" s="230"/>
      <c r="F243" s="246" t="s">
        <v>591</v>
      </c>
      <c r="G243" s="570">
        <v>187416</v>
      </c>
      <c r="H243" s="220"/>
    </row>
    <row r="244" spans="1:10" ht="20.100000000000001" customHeight="1">
      <c r="A244" s="621" t="s">
        <v>592</v>
      </c>
      <c r="B244" s="230"/>
      <c r="C244" s="230"/>
      <c r="D244" s="230"/>
      <c r="E244" s="230"/>
      <c r="F244" s="246" t="s">
        <v>593</v>
      </c>
      <c r="G244" s="570">
        <v>3041</v>
      </c>
      <c r="H244" s="220"/>
    </row>
    <row r="245" spans="1:10" ht="20.100000000000001" customHeight="1">
      <c r="A245" s="620" t="s">
        <v>594</v>
      </c>
      <c r="B245" s="227"/>
      <c r="C245" s="227"/>
      <c r="D245" s="227"/>
      <c r="E245" s="227"/>
      <c r="F245" s="233" t="s">
        <v>595</v>
      </c>
      <c r="G245" s="570">
        <v>0</v>
      </c>
      <c r="H245" s="220"/>
    </row>
    <row r="246" spans="1:10" ht="20.100000000000001" customHeight="1">
      <c r="A246" s="621" t="s">
        <v>596</v>
      </c>
      <c r="B246" s="230"/>
      <c r="C246" s="230"/>
      <c r="D246" s="230"/>
      <c r="E246" s="230"/>
      <c r="F246" s="246" t="s">
        <v>597</v>
      </c>
      <c r="G246" s="570">
        <v>0</v>
      </c>
      <c r="H246" s="657"/>
      <c r="I246" s="223"/>
    </row>
    <row r="247" spans="1:10" ht="20.100000000000001" customHeight="1">
      <c r="A247" s="621" t="s">
        <v>598</v>
      </c>
      <c r="B247" s="230"/>
      <c r="C247" s="230"/>
      <c r="D247" s="230"/>
      <c r="E247" s="230"/>
      <c r="F247" s="253">
        <v>73050</v>
      </c>
      <c r="G247" s="570">
        <v>0</v>
      </c>
      <c r="H247" s="657"/>
      <c r="I247" s="223"/>
    </row>
    <row r="248" spans="1:10" ht="20.100000000000001" customHeight="1">
      <c r="A248" s="621" t="s">
        <v>781</v>
      </c>
      <c r="B248" s="230"/>
      <c r="C248" s="230"/>
      <c r="D248" s="230"/>
      <c r="E248" s="230"/>
      <c r="F248" s="253">
        <v>73100</v>
      </c>
      <c r="G248" s="570">
        <v>66985</v>
      </c>
      <c r="H248" s="657"/>
      <c r="I248" s="223"/>
    </row>
    <row r="249" spans="1:10" ht="20.100000000000001" customHeight="1">
      <c r="A249" s="621" t="s">
        <v>599</v>
      </c>
      <c r="B249" s="230"/>
      <c r="C249" s="230"/>
      <c r="D249" s="230"/>
      <c r="E249" s="230"/>
      <c r="F249" s="246" t="s">
        <v>600</v>
      </c>
      <c r="G249" s="570">
        <v>0</v>
      </c>
      <c r="H249" s="657"/>
      <c r="I249" s="223"/>
    </row>
    <row r="250" spans="1:10" ht="20.100000000000001" customHeight="1">
      <c r="A250" s="621" t="s">
        <v>601</v>
      </c>
      <c r="B250" s="230"/>
      <c r="C250" s="230"/>
      <c r="D250" s="230"/>
      <c r="E250" s="230"/>
      <c r="F250" s="246" t="s">
        <v>602</v>
      </c>
      <c r="G250" s="570">
        <v>0</v>
      </c>
      <c r="H250" s="657"/>
      <c r="I250" s="223"/>
      <c r="J250" s="223"/>
    </row>
    <row r="251" spans="1:10" s="223" customFormat="1" ht="20.100000000000001" customHeight="1">
      <c r="A251" s="621" t="s">
        <v>603</v>
      </c>
      <c r="B251" s="230"/>
      <c r="C251" s="230"/>
      <c r="D251" s="230"/>
      <c r="E251" s="230"/>
      <c r="F251" s="246" t="s">
        <v>604</v>
      </c>
      <c r="G251" s="570">
        <v>0</v>
      </c>
      <c r="H251" s="657"/>
    </row>
    <row r="252" spans="1:10" ht="20.100000000000001" customHeight="1">
      <c r="A252" s="621" t="s">
        <v>605</v>
      </c>
      <c r="B252" s="230"/>
      <c r="C252" s="230"/>
      <c r="D252" s="230"/>
      <c r="E252" s="230"/>
      <c r="F252" s="246" t="s">
        <v>606</v>
      </c>
      <c r="G252" s="570">
        <v>0</v>
      </c>
      <c r="H252" s="657"/>
      <c r="I252" s="223"/>
      <c r="J252" s="223"/>
    </row>
    <row r="253" spans="1:10" ht="20.100000000000001" customHeight="1">
      <c r="A253" s="621" t="s">
        <v>607</v>
      </c>
      <c r="B253" s="230"/>
      <c r="C253" s="230"/>
      <c r="D253" s="230"/>
      <c r="E253" s="230"/>
      <c r="F253" s="246" t="s">
        <v>608</v>
      </c>
      <c r="G253" s="570">
        <v>0</v>
      </c>
      <c r="H253" s="657"/>
      <c r="I253" s="223"/>
    </row>
    <row r="254" spans="1:10" ht="20.100000000000001" customHeight="1">
      <c r="A254" s="621"/>
      <c r="B254" s="230"/>
      <c r="C254" s="230"/>
      <c r="D254" s="230"/>
      <c r="E254" s="230"/>
      <c r="F254" s="246"/>
      <c r="G254" s="876"/>
      <c r="H254" s="657"/>
      <c r="I254" s="223"/>
    </row>
    <row r="255" spans="1:10" ht="20.100000000000001" customHeight="1">
      <c r="A255" s="869" t="s">
        <v>609</v>
      </c>
      <c r="B255" s="703"/>
      <c r="C255" s="703"/>
      <c r="D255" s="703"/>
      <c r="E255" s="703"/>
      <c r="F255" s="704"/>
      <c r="G255" s="762">
        <f>SUM(G243:G253)</f>
        <v>257442</v>
      </c>
      <c r="H255" s="220"/>
    </row>
    <row r="256" spans="1:10" ht="20.100000000000001" customHeight="1">
      <c r="A256" s="633"/>
      <c r="B256" s="260"/>
      <c r="C256" s="260"/>
      <c r="D256" s="260"/>
      <c r="E256" s="260"/>
      <c r="F256" s="260"/>
      <c r="G256" s="710"/>
      <c r="H256" s="220"/>
    </row>
    <row r="257" spans="1:8" ht="20.100000000000001" customHeight="1" thickBot="1">
      <c r="A257" s="652" t="s">
        <v>610</v>
      </c>
      <c r="B257" s="653"/>
      <c r="C257" s="653"/>
      <c r="D257" s="653"/>
      <c r="E257" s="653"/>
      <c r="F257" s="654"/>
      <c r="G257" s="655">
        <f>SUM(G195+G239+G255)</f>
        <v>145709359</v>
      </c>
      <c r="H257" s="220"/>
    </row>
    <row r="258" spans="1:8" ht="20.100000000000001" customHeight="1" thickTop="1">
      <c r="A258" s="877"/>
      <c r="B258" s="878"/>
      <c r="C258" s="878"/>
      <c r="D258" s="878"/>
      <c r="E258" s="878"/>
      <c r="F258" s="879"/>
      <c r="G258" s="880"/>
      <c r="H258" s="220"/>
    </row>
    <row r="259" spans="1:8" ht="20.100000000000001" customHeight="1">
      <c r="A259" s="1015"/>
      <c r="B259" s="1016"/>
      <c r="C259" s="1016"/>
      <c r="D259" s="1016"/>
      <c r="E259" s="1016"/>
      <c r="F259" s="1017"/>
      <c r="G259" s="881"/>
      <c r="H259" s="220"/>
    </row>
    <row r="260" spans="1:8" ht="20.100000000000001" customHeight="1">
      <c r="A260" s="620"/>
      <c r="B260" s="227"/>
      <c r="C260" s="227"/>
      <c r="D260" s="227"/>
      <c r="E260" s="227"/>
      <c r="F260" s="233"/>
      <c r="G260" s="270"/>
      <c r="H260" s="220"/>
    </row>
    <row r="261" spans="1:8" ht="20.100000000000001" customHeight="1">
      <c r="A261" s="620" t="s">
        <v>611</v>
      </c>
      <c r="B261" s="227"/>
      <c r="C261" s="227"/>
      <c r="D261" s="227"/>
      <c r="E261" s="227"/>
      <c r="F261" s="271">
        <v>30100</v>
      </c>
      <c r="G261" s="569">
        <v>1000000</v>
      </c>
      <c r="H261" s="220"/>
    </row>
    <row r="262" spans="1:8" ht="20.100000000000001" customHeight="1">
      <c r="A262" s="620" t="s">
        <v>612</v>
      </c>
      <c r="B262" s="227"/>
      <c r="C262" s="227"/>
      <c r="D262" s="227"/>
      <c r="E262" s="227"/>
      <c r="F262" s="271">
        <v>30200</v>
      </c>
      <c r="G262" s="570">
        <v>0</v>
      </c>
      <c r="H262" s="220"/>
    </row>
    <row r="263" spans="1:8" ht="20.100000000000001" customHeight="1">
      <c r="A263" s="620" t="s">
        <v>613</v>
      </c>
      <c r="B263" s="227"/>
      <c r="C263" s="227"/>
      <c r="D263" s="227"/>
      <c r="E263" s="227"/>
      <c r="F263" s="271">
        <v>30300</v>
      </c>
      <c r="G263" s="570">
        <v>0</v>
      </c>
      <c r="H263" s="220"/>
    </row>
    <row r="264" spans="1:8" ht="20.100000000000001" customHeight="1">
      <c r="A264" s="620" t="s">
        <v>614</v>
      </c>
      <c r="B264" s="227"/>
      <c r="C264" s="227"/>
      <c r="D264" s="227"/>
      <c r="E264" s="227"/>
      <c r="F264" s="271">
        <v>30400</v>
      </c>
      <c r="G264" s="570">
        <v>1910321</v>
      </c>
      <c r="H264" s="220"/>
    </row>
    <row r="265" spans="1:8" ht="20.100000000000001" customHeight="1">
      <c r="A265" s="620" t="s">
        <v>615</v>
      </c>
      <c r="B265" s="227"/>
      <c r="C265" s="227"/>
      <c r="D265" s="227"/>
      <c r="E265" s="227"/>
      <c r="F265" s="271">
        <v>30500</v>
      </c>
      <c r="G265" s="570">
        <v>325000</v>
      </c>
      <c r="H265" s="220"/>
    </row>
    <row r="266" spans="1:8" ht="20.100000000000001" customHeight="1">
      <c r="A266" s="620" t="s">
        <v>616</v>
      </c>
      <c r="B266" s="227"/>
      <c r="C266" s="227"/>
      <c r="D266" s="227"/>
      <c r="E266" s="227"/>
      <c r="F266" s="271">
        <v>30600</v>
      </c>
      <c r="G266" s="570">
        <v>0</v>
      </c>
      <c r="H266" s="220"/>
    </row>
    <row r="267" spans="1:8" ht="20.100000000000001" customHeight="1">
      <c r="A267" s="620" t="s">
        <v>617</v>
      </c>
      <c r="B267" s="227"/>
      <c r="C267" s="227"/>
      <c r="D267" s="227"/>
      <c r="E267" s="227"/>
      <c r="F267" s="271">
        <v>30700</v>
      </c>
      <c r="G267" s="570">
        <v>0</v>
      </c>
      <c r="H267" s="220"/>
    </row>
    <row r="268" spans="1:8" ht="20.100000000000001" customHeight="1">
      <c r="A268" s="620" t="s">
        <v>618</v>
      </c>
      <c r="B268" s="227"/>
      <c r="C268" s="227"/>
      <c r="D268" s="227"/>
      <c r="E268" s="227"/>
      <c r="F268" s="271">
        <v>30900</v>
      </c>
      <c r="G268" s="570">
        <v>0</v>
      </c>
      <c r="H268" s="220"/>
    </row>
    <row r="269" spans="1:8" ht="20.100000000000001" customHeight="1">
      <c r="A269" s="620" t="s">
        <v>619</v>
      </c>
      <c r="B269" s="227"/>
      <c r="C269" s="227"/>
      <c r="D269" s="227"/>
      <c r="E269" s="227"/>
      <c r="F269" s="271">
        <v>31100</v>
      </c>
      <c r="G269" s="753">
        <v>25900000</v>
      </c>
      <c r="H269" s="220"/>
    </row>
    <row r="270" spans="1:8" ht="20.100000000000001" customHeight="1">
      <c r="A270" s="620"/>
      <c r="B270" s="227"/>
      <c r="C270" s="227"/>
      <c r="D270" s="227"/>
      <c r="E270" s="227"/>
      <c r="F270" s="271"/>
      <c r="G270" s="882"/>
      <c r="H270" s="220"/>
    </row>
    <row r="271" spans="1:8" ht="20.100000000000001" customHeight="1">
      <c r="A271" s="622" t="s">
        <v>620</v>
      </c>
      <c r="B271" s="227"/>
      <c r="C271" s="227"/>
      <c r="D271" s="227"/>
      <c r="E271" s="227"/>
      <c r="F271" s="271"/>
      <c r="G271" s="883">
        <f>SUM(G261:G269)</f>
        <v>29135321</v>
      </c>
      <c r="H271" s="220"/>
    </row>
    <row r="272" spans="1:8" ht="20.100000000000001" customHeight="1">
      <c r="A272" s="622"/>
      <c r="B272" s="227"/>
      <c r="C272" s="227"/>
      <c r="D272" s="227"/>
      <c r="E272" s="227"/>
      <c r="F272" s="271"/>
      <c r="G272" s="270"/>
      <c r="H272" s="220"/>
    </row>
    <row r="273" spans="1:12" ht="20.100000000000001" customHeight="1" thickBot="1">
      <c r="A273" s="635" t="s">
        <v>735</v>
      </c>
      <c r="B273" s="220"/>
      <c r="C273" s="220"/>
      <c r="D273" s="220"/>
      <c r="E273" s="220"/>
      <c r="F273" s="254">
        <v>30800</v>
      </c>
      <c r="G273" s="571">
        <v>-110511725</v>
      </c>
      <c r="H273" s="658"/>
    </row>
    <row r="274" spans="1:12" ht="20.100000000000001" customHeight="1">
      <c r="A274" s="629"/>
      <c r="B274" s="220"/>
      <c r="C274" s="220"/>
      <c r="D274" s="220"/>
      <c r="E274" s="220"/>
      <c r="F274" s="254"/>
      <c r="G274" s="270"/>
      <c r="H274" s="220"/>
    </row>
    <row r="275" spans="1:12" ht="20.100000000000001" customHeight="1">
      <c r="A275" s="636" t="s">
        <v>621</v>
      </c>
      <c r="B275" s="637"/>
      <c r="C275" s="637"/>
      <c r="D275" s="637"/>
      <c r="E275" s="637"/>
      <c r="F275" s="638"/>
      <c r="G275" s="639">
        <f>G271+G273</f>
        <v>-81376404</v>
      </c>
      <c r="H275" s="659"/>
    </row>
    <row r="276" spans="1:12">
      <c r="A276" s="272"/>
      <c r="B276" s="272"/>
      <c r="C276" s="272"/>
      <c r="D276" s="272"/>
      <c r="E276" s="272"/>
      <c r="F276" s="273"/>
      <c r="G276" s="274"/>
      <c r="H276" s="275"/>
      <c r="I276" s="275"/>
      <c r="J276" s="275"/>
      <c r="K276" s="275"/>
      <c r="L276" s="275"/>
    </row>
    <row r="277" spans="1:12" s="223" customFormat="1" ht="13.5" customHeight="1">
      <c r="A277" s="1003"/>
      <c r="B277" s="1003"/>
      <c r="C277" s="1003"/>
      <c r="D277" s="1003"/>
      <c r="E277" s="1003"/>
      <c r="F277" s="1003"/>
      <c r="G277" s="1003"/>
      <c r="H277" s="1003"/>
      <c r="I277" s="276"/>
      <c r="J277" s="276"/>
      <c r="K277" s="276"/>
      <c r="L277" s="276"/>
    </row>
    <row r="278" spans="1:12" s="223" customFormat="1">
      <c r="A278" s="1003"/>
      <c r="B278" s="1003"/>
      <c r="C278" s="1003"/>
      <c r="D278" s="1003"/>
      <c r="E278" s="1003"/>
      <c r="F278" s="1003"/>
      <c r="G278" s="1003"/>
      <c r="H278" s="1003"/>
      <c r="I278" s="276"/>
      <c r="J278" s="276"/>
      <c r="K278" s="276"/>
      <c r="L278" s="276"/>
    </row>
    <row r="279" spans="1:12" s="223" customFormat="1">
      <c r="A279" s="1003"/>
      <c r="B279" s="1003"/>
      <c r="C279" s="1003"/>
      <c r="D279" s="1003"/>
      <c r="E279" s="1003"/>
      <c r="F279" s="1003"/>
      <c r="G279" s="1003"/>
      <c r="H279" s="1003"/>
    </row>
  </sheetData>
  <sheetProtection algorithmName="SHA-512" hashValue="61Uz/+PkP6Fk5KPPdTo+MoGjP8yhELokNKuj9o6ojA+AM1bg8mdlspCOEerr/yDkIXyNecIrBuZ99uQIKeV75g==" saltValue="h3NJddJEeuupMjy1FyG/x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6" max="6" man="1"/>
  </rowBreaks>
  <ignoredErrors>
    <ignoredError sqref="A254:A258 F132:F139 F123:F126 F117 F109:F113 F11:F17 F191:F193 F21:F33 A238:H238 A274:A280 F158:F171 F147:F156 A266:A270 B251:H254 B239:F239 H239 B256:H258 B255:F255 H255 F45:F64 A272 F175:F189 A263:A264 B240:H240 F37:F40 A260:A261 B274:H280 B273:F273 A240:A242 F66:F72 F74:F86 F94:F97 F99:F103 B242:H242 G241:H241 B260:H260 G259:H259 B206:F237 H206:H237 B270:H272 B243:F246 H243:H246 B261:F269 H261:H269 F88:F91 B249:F249 H249 B250:F250 H250 H199:H204 B199:F204" numberStoredAsText="1"/>
    <ignoredError sqref="G85 G75 G81 G143"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0" zoomScaleNormal="80" zoomScalePageLayoutView="80" workbookViewId="0">
      <selection activeCell="B14" sqref="B14"/>
    </sheetView>
  </sheetViews>
  <sheetFormatPr defaultColWidth="9.140625" defaultRowHeight="23.25"/>
  <cols>
    <col min="1" max="1" width="47.7109375" style="420" customWidth="1"/>
    <col min="2" max="2" width="20.7109375" style="420" customWidth="1"/>
    <col min="3" max="4" width="17.42578125" style="420" customWidth="1"/>
    <col min="5" max="5" width="19.85546875" style="420" customWidth="1"/>
    <col min="6" max="6" width="7.42578125" style="420" customWidth="1"/>
    <col min="7" max="16384" width="9.140625" style="420"/>
  </cols>
  <sheetData>
    <row r="1" spans="1:8" ht="24" customHeight="1">
      <c r="A1" s="429"/>
      <c r="B1" s="429"/>
      <c r="C1" s="429"/>
      <c r="D1" s="429"/>
      <c r="E1" s="430" t="s">
        <v>622</v>
      </c>
      <c r="F1" s="429"/>
    </row>
    <row r="2" spans="1:8" ht="24" customHeight="1">
      <c r="A2" s="429"/>
      <c r="B2" s="429"/>
      <c r="C2" s="429"/>
      <c r="D2" s="429"/>
      <c r="E2" s="431"/>
      <c r="F2" s="429"/>
    </row>
    <row r="3" spans="1:8" ht="24" customHeight="1" thickBot="1">
      <c r="A3" s="1092" t="s">
        <v>192</v>
      </c>
      <c r="B3" s="1079" t="str">
        <f>'CHECK SHEET'!D7</f>
        <v>St. Petersburg College</v>
      </c>
      <c r="C3" s="1079"/>
      <c r="D3" s="1079"/>
      <c r="E3" s="1079"/>
      <c r="F3" s="432"/>
      <c r="G3" s="425"/>
    </row>
    <row r="4" spans="1:8" ht="24" customHeight="1">
      <c r="A4" s="1075" t="s">
        <v>623</v>
      </c>
      <c r="B4" s="1075"/>
      <c r="C4" s="1075"/>
      <c r="D4" s="1075"/>
      <c r="E4" s="1075"/>
      <c r="F4" s="464"/>
    </row>
    <row r="5" spans="1:8" ht="24" customHeight="1">
      <c r="A5" s="1075" t="s">
        <v>624</v>
      </c>
      <c r="B5" s="1075"/>
      <c r="C5" s="1075"/>
      <c r="D5" s="1075"/>
      <c r="E5" s="1075"/>
      <c r="F5" s="464"/>
    </row>
    <row r="6" spans="1:8" ht="24" customHeight="1">
      <c r="A6" s="1098" t="s">
        <v>773</v>
      </c>
      <c r="B6" s="1098"/>
      <c r="C6" s="1098"/>
      <c r="D6" s="1098"/>
      <c r="E6" s="1098"/>
      <c r="F6" s="465"/>
    </row>
    <row r="7" spans="1:8" ht="20.100000000000001" customHeight="1">
      <c r="A7" s="1096"/>
      <c r="B7" s="1096"/>
      <c r="C7" s="1096"/>
      <c r="D7" s="1097"/>
      <c r="E7" s="1097"/>
      <c r="F7" s="424"/>
    </row>
    <row r="8" spans="1:8" ht="24" customHeight="1" thickBot="1">
      <c r="A8" s="1018" t="s">
        <v>625</v>
      </c>
      <c r="B8" s="1018"/>
      <c r="C8" s="1018"/>
      <c r="D8" s="424"/>
      <c r="E8" s="424"/>
      <c r="F8" s="424"/>
      <c r="H8" s="426"/>
    </row>
    <row r="9" spans="1:8" s="37" customFormat="1" ht="64.349999999999994" customHeight="1" thickBot="1">
      <c r="A9" s="371" t="s">
        <v>626</v>
      </c>
      <c r="B9" s="991" t="s">
        <v>627</v>
      </c>
      <c r="C9" s="390" t="s">
        <v>628</v>
      </c>
      <c r="D9" s="390" t="s">
        <v>629</v>
      </c>
      <c r="E9" s="460" t="s">
        <v>50</v>
      </c>
      <c r="F9" s="466"/>
      <c r="H9" s="457"/>
    </row>
    <row r="10" spans="1:8" s="37" customFormat="1" ht="20.100000000000001" customHeight="1">
      <c r="A10" s="480" t="s">
        <v>630</v>
      </c>
      <c r="B10" s="572">
        <v>53887301</v>
      </c>
      <c r="C10" s="573">
        <v>2621447</v>
      </c>
      <c r="D10" s="573">
        <v>32325</v>
      </c>
      <c r="E10" s="481">
        <f>SUM(B10:D10)</f>
        <v>56541073</v>
      </c>
      <c r="F10" s="458"/>
      <c r="G10" s="457"/>
    </row>
    <row r="11" spans="1:8" s="37" customFormat="1" ht="20.100000000000001" customHeight="1">
      <c r="A11" s="480" t="s">
        <v>631</v>
      </c>
      <c r="B11" s="1251"/>
      <c r="C11" s="563">
        <v>0</v>
      </c>
      <c r="D11" s="563">
        <v>0</v>
      </c>
      <c r="E11" s="482">
        <v>0</v>
      </c>
      <c r="F11" s="458"/>
      <c r="G11" s="457"/>
      <c r="H11" s="457"/>
    </row>
    <row r="12" spans="1:8" s="37" customFormat="1" ht="20.100000000000001" customHeight="1" thickBot="1">
      <c r="A12" s="480" t="s">
        <v>632</v>
      </c>
      <c r="B12" s="574">
        <v>0</v>
      </c>
      <c r="C12" s="563">
        <v>995</v>
      </c>
      <c r="D12" s="563">
        <v>0</v>
      </c>
      <c r="E12" s="482">
        <f>SUM(B12:D12)</f>
        <v>995</v>
      </c>
      <c r="F12" s="458"/>
    </row>
    <row r="13" spans="1:8" s="37" customFormat="1" ht="20.100000000000001" customHeight="1" thickBot="1">
      <c r="A13" s="480" t="s">
        <v>633</v>
      </c>
      <c r="B13" s="483"/>
      <c r="C13" s="484"/>
      <c r="D13" s="484"/>
      <c r="E13" s="485"/>
      <c r="F13" s="458"/>
    </row>
    <row r="14" spans="1:8" s="37" customFormat="1" ht="20.100000000000001" customHeight="1">
      <c r="A14" s="480" t="s">
        <v>634</v>
      </c>
      <c r="B14" s="574">
        <v>16819121</v>
      </c>
      <c r="C14" s="575">
        <v>3497690</v>
      </c>
      <c r="D14" s="575">
        <v>108214</v>
      </c>
      <c r="E14" s="482">
        <f>SUM(B14:D14)</f>
        <v>20425025</v>
      </c>
      <c r="F14" s="458"/>
    </row>
    <row r="15" spans="1:8" s="37" customFormat="1" ht="20.100000000000001" customHeight="1">
      <c r="A15" s="480" t="s">
        <v>635</v>
      </c>
      <c r="B15" s="574">
        <v>486626</v>
      </c>
      <c r="C15" s="563">
        <v>334608</v>
      </c>
      <c r="D15" s="563">
        <v>0</v>
      </c>
      <c r="E15" s="482">
        <f>SUM(B15:D15)</f>
        <v>821234</v>
      </c>
      <c r="F15" s="458"/>
    </row>
    <row r="16" spans="1:8" s="37" customFormat="1" ht="20.100000000000001" customHeight="1">
      <c r="A16" s="480" t="s">
        <v>636</v>
      </c>
      <c r="B16" s="574">
        <v>17590383</v>
      </c>
      <c r="C16" s="563">
        <v>3621224</v>
      </c>
      <c r="D16" s="563">
        <v>23918</v>
      </c>
      <c r="E16" s="482">
        <f t="shared" ref="E16:E20" si="0">SUM(B16:D16)</f>
        <v>21235525</v>
      </c>
      <c r="F16" s="458"/>
    </row>
    <row r="17" spans="1:6" s="37" customFormat="1" ht="20.100000000000001" customHeight="1">
      <c r="A17" s="480" t="s">
        <v>637</v>
      </c>
      <c r="B17" s="574">
        <v>11995344</v>
      </c>
      <c r="C17" s="563">
        <v>9036585</v>
      </c>
      <c r="D17" s="563">
        <v>76985</v>
      </c>
      <c r="E17" s="482">
        <f t="shared" si="0"/>
        <v>21108914</v>
      </c>
      <c r="F17" s="458"/>
    </row>
    <row r="18" spans="1:6" s="37" customFormat="1" ht="20.100000000000001" customHeight="1">
      <c r="A18" s="480" t="s">
        <v>638</v>
      </c>
      <c r="B18" s="574">
        <v>9818143</v>
      </c>
      <c r="C18" s="563">
        <v>7507418</v>
      </c>
      <c r="D18" s="563">
        <f>16000</f>
        <v>16000</v>
      </c>
      <c r="E18" s="482">
        <f t="shared" si="0"/>
        <v>17341561</v>
      </c>
      <c r="F18" s="458"/>
    </row>
    <row r="19" spans="1:6" s="37" customFormat="1" ht="20.100000000000001" customHeight="1">
      <c r="A19" s="480" t="s">
        <v>639</v>
      </c>
      <c r="B19" s="574">
        <v>0</v>
      </c>
      <c r="C19" s="563">
        <v>6479219</v>
      </c>
      <c r="D19" s="563">
        <v>0</v>
      </c>
      <c r="E19" s="482">
        <f t="shared" si="0"/>
        <v>6479219</v>
      </c>
      <c r="F19" s="458"/>
    </row>
    <row r="20" spans="1:6" s="37" customFormat="1" ht="20.100000000000001" customHeight="1" thickBot="1">
      <c r="A20" s="480" t="s">
        <v>640</v>
      </c>
      <c r="B20" s="574">
        <v>0</v>
      </c>
      <c r="C20" s="564">
        <v>1755813</v>
      </c>
      <c r="D20" s="564">
        <v>0</v>
      </c>
      <c r="E20" s="482">
        <f t="shared" si="0"/>
        <v>1755813</v>
      </c>
      <c r="F20" s="458"/>
    </row>
    <row r="21" spans="1:6" s="37" customFormat="1" ht="24" customHeight="1" thickBot="1">
      <c r="A21" s="378" t="s">
        <v>50</v>
      </c>
      <c r="B21" s="459">
        <f>SUM(B10:B20)</f>
        <v>110596918</v>
      </c>
      <c r="C21" s="462">
        <f>SUM(C10:C20)</f>
        <v>34854999</v>
      </c>
      <c r="D21" s="462">
        <f>SUM(D10:D20)</f>
        <v>257442</v>
      </c>
      <c r="E21" s="461">
        <f>SUM(E10:E20)</f>
        <v>145709359</v>
      </c>
      <c r="F21" s="458"/>
    </row>
    <row r="22" spans="1:6" ht="24" customHeight="1">
      <c r="A22" s="424"/>
      <c r="B22" s="428"/>
      <c r="C22" s="424"/>
      <c r="D22" s="424"/>
      <c r="E22" s="424"/>
      <c r="F22" s="427"/>
    </row>
    <row r="23" spans="1:6" ht="24" customHeight="1">
      <c r="A23" s="424"/>
      <c r="B23" s="424"/>
      <c r="C23" s="424"/>
      <c r="D23" s="424"/>
      <c r="E23" s="424"/>
      <c r="F23" s="427"/>
    </row>
    <row r="24" spans="1:6">
      <c r="A24" s="424"/>
      <c r="B24" s="424"/>
      <c r="C24" s="424"/>
      <c r="D24" s="424"/>
      <c r="E24" s="424"/>
      <c r="F24" s="427"/>
    </row>
    <row r="25" spans="1:6">
      <c r="A25" s="424"/>
      <c r="B25" s="424"/>
      <c r="C25" s="424"/>
      <c r="D25" s="424"/>
      <c r="E25" s="424"/>
      <c r="F25" s="427"/>
    </row>
    <row r="26" spans="1:6">
      <c r="A26" s="424"/>
      <c r="B26" s="424"/>
      <c r="C26" s="424"/>
      <c r="D26" s="424"/>
      <c r="E26" s="424"/>
      <c r="F26" s="424"/>
    </row>
    <row r="27" spans="1:6">
      <c r="A27" s="424"/>
      <c r="B27" s="424"/>
      <c r="C27" s="424"/>
      <c r="D27" s="424"/>
      <c r="E27" s="424"/>
      <c r="F27" s="424"/>
    </row>
    <row r="28" spans="1:6">
      <c r="A28" s="424"/>
      <c r="B28" s="424"/>
      <c r="C28" s="424"/>
      <c r="D28" s="424"/>
      <c r="E28" s="424"/>
      <c r="F28" s="424"/>
    </row>
    <row r="29" spans="1:6">
      <c r="A29" s="424"/>
      <c r="B29" s="424"/>
      <c r="C29" s="424"/>
      <c r="D29" s="424"/>
      <c r="E29" s="424"/>
      <c r="F29" s="424"/>
    </row>
    <row r="30" spans="1:6">
      <c r="A30" s="424"/>
      <c r="B30" s="424"/>
      <c r="C30" s="424"/>
      <c r="D30" s="424"/>
      <c r="E30" s="424"/>
      <c r="F30" s="424"/>
    </row>
    <row r="31" spans="1:6">
      <c r="A31" s="424"/>
      <c r="B31" s="424"/>
      <c r="C31" s="424"/>
      <c r="D31" s="424"/>
      <c r="E31" s="424"/>
      <c r="F31" s="424"/>
    </row>
    <row r="32" spans="1:6">
      <c r="A32" s="424"/>
      <c r="B32" s="424"/>
      <c r="C32" s="424"/>
      <c r="D32" s="424"/>
      <c r="E32" s="424"/>
      <c r="F32" s="424"/>
    </row>
    <row r="96" spans="3:4">
      <c r="C96" s="420">
        <f>SUM(C91:C95)</f>
        <v>0</v>
      </c>
      <c r="D96" s="420">
        <f>SUM(D91:D95)</f>
        <v>0</v>
      </c>
    </row>
  </sheetData>
  <sheetProtection algorithmName="SHA-512" hashValue="PbZad0CkF7uFNsvcWnCkGdpdegpAdXRLHZlUjj0DO4tKw0f3e9vvPeLLpcX0Ha9BKCeO+uobed+DOX7x96QsDg==" saltValue="GK5tdC1BwY3URk68xbOBqA=="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79998168889431442"/>
  </sheetPr>
  <dimension ref="A1:G3"/>
  <sheetViews>
    <sheetView showGridLines="0" zoomScale="70" zoomScaleNormal="70" zoomScalePageLayoutView="70" workbookViewId="0">
      <selection activeCell="A5" sqref="A5"/>
    </sheetView>
  </sheetViews>
  <sheetFormatPr defaultColWidth="8.85546875" defaultRowHeight="12.75"/>
  <cols>
    <col min="1" max="1" width="78.7109375" customWidth="1"/>
  </cols>
  <sheetData>
    <row r="1" spans="1:7" ht="26.1" customHeight="1">
      <c r="A1" s="618" t="s">
        <v>641</v>
      </c>
      <c r="B1" s="617"/>
      <c r="C1" s="617"/>
      <c r="D1" s="617"/>
      <c r="E1" s="617"/>
      <c r="F1" s="617"/>
      <c r="G1" s="617"/>
    </row>
    <row r="2" spans="1:7" ht="26.25">
      <c r="A2" s="607" t="s">
        <v>642</v>
      </c>
      <c r="B2" s="617"/>
      <c r="C2" s="224"/>
      <c r="D2" s="224"/>
      <c r="E2" s="224"/>
      <c r="F2" s="224"/>
      <c r="G2" s="224"/>
    </row>
    <row r="3" spans="1:7" ht="26.1" customHeight="1">
      <c r="A3" s="606" t="s">
        <v>643</v>
      </c>
      <c r="B3" s="619"/>
      <c r="C3" s="224"/>
      <c r="D3" s="224"/>
      <c r="E3" s="224"/>
      <c r="F3" s="224"/>
      <c r="G3" s="224"/>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38915" r:id="rId4">
          <objectPr defaultSize="0" r:id="rId5">
            <anchor moveWithCells="1">
              <from>
                <xdr:col>0</xdr:col>
                <xdr:colOff>0</xdr:colOff>
                <xdr:row>4</xdr:row>
                <xdr:rowOff>0</xdr:rowOff>
              </from>
              <to>
                <xdr:col>1</xdr:col>
                <xdr:colOff>581025</xdr:colOff>
                <xdr:row>50</xdr:row>
                <xdr:rowOff>95250</xdr:rowOff>
              </to>
            </anchor>
          </objectPr>
        </oleObject>
      </mc:Choice>
      <mc:Fallback>
        <oleObject progId="AcroExch.Document.DC" shapeId="38915"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3" tint="0.79998168889431442"/>
  </sheetPr>
  <dimension ref="A1:HP1204"/>
  <sheetViews>
    <sheetView showGridLines="0" zoomScale="50" zoomScaleNormal="50" zoomScaleSheetLayoutView="50" zoomScalePageLayoutView="60" workbookViewId="0">
      <selection activeCell="O84" sqref="O84"/>
    </sheetView>
  </sheetViews>
  <sheetFormatPr defaultColWidth="12.42578125" defaultRowHeight="15.75"/>
  <cols>
    <col min="1" max="1" width="26.42578125" style="282" customWidth="1"/>
    <col min="2" max="2" width="85" style="282" customWidth="1"/>
    <col min="3" max="3" width="66.85546875" style="282" customWidth="1"/>
    <col min="4" max="5" width="25.85546875" style="330" customWidth="1"/>
    <col min="6" max="6" width="33.7109375" style="330" customWidth="1"/>
    <col min="7" max="7" width="3.140625" style="282" customWidth="1"/>
    <col min="8" max="16384" width="12.42578125" style="282"/>
  </cols>
  <sheetData>
    <row r="1" spans="1:224" ht="30" customHeight="1" thickBot="1">
      <c r="A1" s="1075" t="s">
        <v>192</v>
      </c>
      <c r="B1" s="1099" t="str">
        <f>'CHECK SHEET'!D7</f>
        <v>St. Petersburg College</v>
      </c>
      <c r="C1" s="1099"/>
      <c r="D1" s="1099"/>
      <c r="E1" s="1099"/>
      <c r="F1" s="1099"/>
      <c r="G1" s="280"/>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c r="DM1" s="281"/>
      <c r="DN1" s="281"/>
      <c r="DO1" s="281"/>
      <c r="DP1" s="281"/>
      <c r="DQ1" s="281"/>
      <c r="DR1" s="281"/>
      <c r="DS1" s="281"/>
      <c r="DT1" s="281"/>
      <c r="DU1" s="281"/>
      <c r="DV1" s="281"/>
      <c r="DW1" s="281"/>
      <c r="DX1" s="281"/>
      <c r="DY1" s="281"/>
      <c r="DZ1" s="281"/>
      <c r="EA1" s="281"/>
      <c r="EB1" s="281"/>
      <c r="EC1" s="281"/>
      <c r="ED1" s="281"/>
      <c r="EE1" s="281"/>
      <c r="EF1" s="281"/>
      <c r="EG1" s="281"/>
      <c r="EH1" s="281"/>
      <c r="EI1" s="281"/>
      <c r="EJ1" s="281"/>
      <c r="EK1" s="281"/>
      <c r="EL1" s="281"/>
      <c r="EM1" s="281"/>
      <c r="EN1" s="281"/>
      <c r="EO1" s="281"/>
      <c r="EP1" s="281"/>
      <c r="EQ1" s="281"/>
      <c r="ER1" s="281"/>
      <c r="ES1" s="281"/>
      <c r="ET1" s="281"/>
      <c r="EU1" s="281"/>
      <c r="EV1" s="281"/>
      <c r="EW1" s="281"/>
      <c r="EX1" s="281"/>
      <c r="EY1" s="281"/>
      <c r="EZ1" s="281"/>
      <c r="FA1" s="281"/>
      <c r="FB1" s="281"/>
      <c r="FC1" s="281"/>
      <c r="FD1" s="281"/>
      <c r="FE1" s="281"/>
      <c r="FF1" s="281"/>
      <c r="FG1" s="281"/>
      <c r="FH1" s="281"/>
      <c r="FI1" s="281"/>
      <c r="FJ1" s="281"/>
      <c r="FK1" s="281"/>
      <c r="FL1" s="281"/>
      <c r="FM1" s="281"/>
      <c r="FN1" s="281"/>
      <c r="FO1" s="281"/>
      <c r="FP1" s="281"/>
      <c r="FQ1" s="281"/>
      <c r="FR1" s="281"/>
      <c r="FS1" s="281"/>
      <c r="FT1" s="281"/>
      <c r="FU1" s="281"/>
      <c r="FV1" s="281"/>
      <c r="FW1" s="281"/>
      <c r="FX1" s="281"/>
      <c r="FY1" s="281"/>
      <c r="FZ1" s="281"/>
      <c r="GA1" s="281"/>
      <c r="GB1" s="281"/>
      <c r="GC1" s="281"/>
      <c r="GD1" s="281"/>
      <c r="GE1" s="281"/>
      <c r="GF1" s="281"/>
      <c r="GG1" s="281"/>
      <c r="GH1" s="281"/>
      <c r="GI1" s="281"/>
      <c r="GJ1" s="281"/>
      <c r="GK1" s="281"/>
      <c r="GL1" s="281"/>
      <c r="GM1" s="281"/>
      <c r="GN1" s="281"/>
      <c r="GO1" s="281"/>
      <c r="GP1" s="281"/>
      <c r="GQ1" s="281"/>
      <c r="GR1" s="281"/>
      <c r="GS1" s="281"/>
      <c r="GT1" s="281"/>
      <c r="GU1" s="281"/>
      <c r="GV1" s="281"/>
      <c r="GW1" s="281"/>
      <c r="GX1" s="281"/>
      <c r="GY1" s="281"/>
      <c r="GZ1" s="281"/>
      <c r="HA1" s="281"/>
      <c r="HB1" s="281"/>
      <c r="HC1" s="281"/>
      <c r="HD1" s="281"/>
      <c r="HE1" s="281"/>
      <c r="HF1" s="281"/>
      <c r="HG1" s="281"/>
      <c r="HH1" s="281"/>
      <c r="HI1" s="281"/>
      <c r="HJ1" s="281"/>
      <c r="HK1" s="281"/>
      <c r="HL1" s="281"/>
      <c r="HM1" s="281"/>
      <c r="HN1" s="281"/>
      <c r="HO1" s="281"/>
      <c r="HP1" s="281"/>
    </row>
    <row r="2" spans="1:224" ht="30" customHeight="1">
      <c r="A2" s="1100" t="s">
        <v>644</v>
      </c>
      <c r="B2" s="1100"/>
      <c r="C2" s="1100"/>
      <c r="D2" s="1100"/>
      <c r="E2" s="1100"/>
      <c r="F2" s="1100"/>
      <c r="G2" s="283"/>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c r="DM2" s="281"/>
      <c r="DN2" s="281"/>
      <c r="DO2" s="281"/>
      <c r="DP2" s="281"/>
      <c r="DQ2" s="281"/>
      <c r="DR2" s="281"/>
      <c r="DS2" s="281"/>
      <c r="DT2" s="281"/>
      <c r="DU2" s="281"/>
      <c r="DV2" s="281"/>
      <c r="DW2" s="281"/>
      <c r="DX2" s="281"/>
      <c r="DY2" s="281"/>
      <c r="DZ2" s="281"/>
      <c r="EA2" s="281"/>
      <c r="EB2" s="281"/>
      <c r="EC2" s="281"/>
      <c r="ED2" s="281"/>
      <c r="EE2" s="281"/>
      <c r="EF2" s="281"/>
      <c r="EG2" s="281"/>
      <c r="EH2" s="281"/>
      <c r="EI2" s="281"/>
      <c r="EJ2" s="281"/>
      <c r="EK2" s="281"/>
      <c r="EL2" s="281"/>
      <c r="EM2" s="281"/>
      <c r="EN2" s="281"/>
      <c r="EO2" s="281"/>
      <c r="EP2" s="281"/>
      <c r="EQ2" s="281"/>
      <c r="ER2" s="281"/>
      <c r="ES2" s="281"/>
      <c r="ET2" s="281"/>
      <c r="EU2" s="281"/>
      <c r="EV2" s="281"/>
      <c r="EW2" s="281"/>
      <c r="EX2" s="281"/>
      <c r="EY2" s="281"/>
      <c r="EZ2" s="281"/>
      <c r="FA2" s="281"/>
      <c r="FB2" s="281"/>
      <c r="FC2" s="281"/>
      <c r="FD2" s="281"/>
      <c r="FE2" s="281"/>
      <c r="FF2" s="281"/>
      <c r="FG2" s="281"/>
      <c r="FH2" s="281"/>
      <c r="FI2" s="281"/>
      <c r="FJ2" s="281"/>
      <c r="FK2" s="281"/>
      <c r="FL2" s="281"/>
      <c r="FM2" s="281"/>
      <c r="FN2" s="281"/>
      <c r="FO2" s="281"/>
      <c r="FP2" s="281"/>
      <c r="FQ2" s="281"/>
      <c r="FR2" s="281"/>
      <c r="FS2" s="281"/>
      <c r="FT2" s="281"/>
      <c r="FU2" s="281"/>
      <c r="FV2" s="281"/>
      <c r="FW2" s="281"/>
      <c r="FX2" s="281"/>
      <c r="FY2" s="281"/>
      <c r="FZ2" s="281"/>
      <c r="GA2" s="281"/>
      <c r="GB2" s="281"/>
      <c r="GC2" s="281"/>
      <c r="GD2" s="281"/>
      <c r="GE2" s="281"/>
      <c r="GF2" s="281"/>
      <c r="GG2" s="281"/>
      <c r="GH2" s="281"/>
      <c r="GI2" s="281"/>
      <c r="GJ2" s="281"/>
      <c r="GK2" s="281"/>
      <c r="GL2" s="281"/>
      <c r="GM2" s="281"/>
      <c r="GN2" s="281"/>
      <c r="GO2" s="281"/>
      <c r="GP2" s="281"/>
      <c r="GQ2" s="281"/>
      <c r="GR2" s="281"/>
      <c r="GS2" s="281"/>
      <c r="GT2" s="281"/>
      <c r="GU2" s="281"/>
      <c r="GV2" s="281"/>
      <c r="GW2" s="281"/>
      <c r="GX2" s="281"/>
      <c r="GY2" s="281"/>
      <c r="GZ2" s="281"/>
      <c r="HA2" s="281"/>
      <c r="HB2" s="281"/>
      <c r="HC2" s="281"/>
      <c r="HD2" s="281"/>
      <c r="HE2" s="281"/>
      <c r="HF2" s="281"/>
      <c r="HG2" s="281"/>
      <c r="HH2" s="281"/>
      <c r="HI2" s="281"/>
      <c r="HJ2" s="281"/>
      <c r="HK2" s="281"/>
      <c r="HL2" s="281"/>
      <c r="HM2" s="281"/>
      <c r="HN2" s="281"/>
      <c r="HO2" s="281"/>
      <c r="HP2" s="281"/>
    </row>
    <row r="3" spans="1:224" s="284" customFormat="1" ht="30" customHeight="1">
      <c r="A3" s="1101" t="s">
        <v>645</v>
      </c>
      <c r="B3" s="1101"/>
      <c r="C3" s="1101"/>
      <c r="D3" s="1101"/>
      <c r="E3" s="1101"/>
      <c r="F3" s="1101"/>
    </row>
    <row r="4" spans="1:224" ht="30" customHeight="1">
      <c r="A4" s="1100" t="s">
        <v>773</v>
      </c>
      <c r="B4" s="1100"/>
      <c r="C4" s="1100"/>
      <c r="D4" s="1100"/>
      <c r="E4" s="1100"/>
      <c r="F4" s="1100"/>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c r="DS4" s="281"/>
      <c r="DT4" s="281"/>
      <c r="DU4" s="281"/>
      <c r="DV4" s="281"/>
      <c r="DW4" s="281"/>
      <c r="DX4" s="281"/>
      <c r="DY4" s="281"/>
      <c r="DZ4" s="281"/>
      <c r="EA4" s="281"/>
      <c r="EB4" s="281"/>
      <c r="EC4" s="281"/>
      <c r="ED4" s="281"/>
      <c r="EE4" s="281"/>
      <c r="EF4" s="281"/>
      <c r="EG4" s="281"/>
      <c r="EH4" s="281"/>
      <c r="EI4" s="281"/>
      <c r="EJ4" s="281"/>
      <c r="EK4" s="281"/>
      <c r="EL4" s="281"/>
      <c r="EM4" s="281"/>
      <c r="EN4" s="281"/>
      <c r="EO4" s="281"/>
      <c r="EP4" s="281"/>
      <c r="EQ4" s="281"/>
      <c r="ER4" s="281"/>
      <c r="ES4" s="281"/>
      <c r="ET4" s="281"/>
      <c r="EU4" s="281"/>
      <c r="EV4" s="281"/>
      <c r="EW4" s="281"/>
      <c r="EX4" s="281"/>
      <c r="EY4" s="281"/>
      <c r="EZ4" s="281"/>
      <c r="FA4" s="281"/>
      <c r="FB4" s="281"/>
      <c r="FC4" s="281"/>
      <c r="FD4" s="281"/>
      <c r="FE4" s="281"/>
      <c r="FF4" s="281"/>
      <c r="FG4" s="281"/>
      <c r="FH4" s="281"/>
      <c r="FI4" s="281"/>
      <c r="FJ4" s="281"/>
      <c r="FK4" s="281"/>
      <c r="FL4" s="281"/>
      <c r="FM4" s="281"/>
      <c r="FN4" s="281"/>
      <c r="FO4" s="281"/>
      <c r="FP4" s="281"/>
      <c r="FQ4" s="281"/>
      <c r="FR4" s="281"/>
      <c r="FS4" s="281"/>
      <c r="FT4" s="281"/>
      <c r="FU4" s="281"/>
      <c r="FV4" s="281"/>
      <c r="FW4" s="281"/>
      <c r="FX4" s="281"/>
      <c r="FY4" s="281"/>
      <c r="FZ4" s="281"/>
      <c r="GA4" s="281"/>
      <c r="GB4" s="281"/>
      <c r="GC4" s="281"/>
      <c r="GD4" s="281"/>
      <c r="GE4" s="281"/>
      <c r="GF4" s="281"/>
      <c r="GG4" s="281"/>
      <c r="GH4" s="281"/>
      <c r="GI4" s="281"/>
      <c r="GJ4" s="281"/>
      <c r="GK4" s="281"/>
      <c r="GL4" s="281"/>
      <c r="GM4" s="281"/>
      <c r="GN4" s="281"/>
      <c r="GO4" s="281"/>
      <c r="GP4" s="281"/>
      <c r="GQ4" s="281"/>
      <c r="GR4" s="281"/>
      <c r="GS4" s="281"/>
      <c r="GT4" s="281"/>
      <c r="GU4" s="281"/>
      <c r="GV4" s="281"/>
      <c r="GW4" s="281"/>
      <c r="GX4" s="281"/>
      <c r="GY4" s="281"/>
      <c r="GZ4" s="281"/>
      <c r="HA4" s="281"/>
      <c r="HB4" s="281"/>
      <c r="HC4" s="281"/>
      <c r="HD4" s="281"/>
      <c r="HE4" s="281"/>
      <c r="HF4" s="281"/>
      <c r="HG4" s="281"/>
      <c r="HH4" s="281"/>
      <c r="HI4" s="281"/>
      <c r="HJ4" s="281"/>
      <c r="HK4" s="281"/>
      <c r="HL4" s="281"/>
      <c r="HM4" s="281"/>
      <c r="HN4" s="281"/>
      <c r="HO4" s="281"/>
      <c r="HP4" s="281"/>
    </row>
    <row r="5" spans="1:224" ht="30" customHeight="1">
      <c r="A5" s="1037"/>
      <c r="B5" s="1037"/>
      <c r="C5" s="1037"/>
      <c r="D5" s="1037"/>
      <c r="E5" s="1037"/>
      <c r="F5" s="1037"/>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c r="DS5" s="281"/>
      <c r="DT5" s="281"/>
      <c r="DU5" s="281"/>
      <c r="DV5" s="281"/>
      <c r="DW5" s="281"/>
      <c r="DX5" s="281"/>
      <c r="DY5" s="281"/>
      <c r="DZ5" s="281"/>
      <c r="EA5" s="281"/>
      <c r="EB5" s="281"/>
      <c r="EC5" s="281"/>
      <c r="ED5" s="281"/>
      <c r="EE5" s="281"/>
      <c r="EF5" s="281"/>
      <c r="EG5" s="281"/>
      <c r="EH5" s="281"/>
      <c r="EI5" s="281"/>
      <c r="EJ5" s="281"/>
      <c r="EK5" s="281"/>
      <c r="EL5" s="281"/>
      <c r="EM5" s="281"/>
      <c r="EN5" s="281"/>
      <c r="EO5" s="281"/>
      <c r="EP5" s="281"/>
      <c r="EQ5" s="281"/>
      <c r="ER5" s="281"/>
      <c r="ES5" s="281"/>
      <c r="ET5" s="281"/>
      <c r="EU5" s="281"/>
      <c r="EV5" s="281"/>
      <c r="EW5" s="281"/>
      <c r="EX5" s="281"/>
      <c r="EY5" s="281"/>
      <c r="EZ5" s="281"/>
      <c r="FA5" s="281"/>
      <c r="FB5" s="281"/>
      <c r="FC5" s="281"/>
      <c r="FD5" s="281"/>
      <c r="FE5" s="281"/>
      <c r="FF5" s="281"/>
      <c r="FG5" s="281"/>
      <c r="FH5" s="281"/>
      <c r="FI5" s="281"/>
      <c r="FJ5" s="281"/>
      <c r="FK5" s="281"/>
      <c r="FL5" s="281"/>
      <c r="FM5" s="281"/>
      <c r="FN5" s="281"/>
      <c r="FO5" s="281"/>
      <c r="FP5" s="281"/>
      <c r="FQ5" s="281"/>
      <c r="FR5" s="281"/>
      <c r="FS5" s="281"/>
      <c r="FT5" s="281"/>
      <c r="FU5" s="281"/>
      <c r="FV5" s="281"/>
      <c r="FW5" s="281"/>
      <c r="FX5" s="281"/>
      <c r="FY5" s="281"/>
      <c r="FZ5" s="281"/>
      <c r="GA5" s="281"/>
      <c r="GB5" s="281"/>
      <c r="GC5" s="281"/>
      <c r="GD5" s="281"/>
      <c r="GE5" s="281"/>
      <c r="GF5" s="281"/>
      <c r="GG5" s="281"/>
      <c r="GH5" s="281"/>
      <c r="GI5" s="281"/>
      <c r="GJ5" s="281"/>
      <c r="GK5" s="281"/>
      <c r="GL5" s="281"/>
      <c r="GM5" s="281"/>
      <c r="GN5" s="281"/>
      <c r="GO5" s="281"/>
      <c r="GP5" s="281"/>
      <c r="GQ5" s="281"/>
      <c r="GR5" s="281"/>
      <c r="GS5" s="281"/>
      <c r="GT5" s="281"/>
      <c r="GU5" s="281"/>
      <c r="GV5" s="281"/>
      <c r="GW5" s="281"/>
      <c r="GX5" s="281"/>
      <c r="GY5" s="281"/>
      <c r="GZ5" s="281"/>
      <c r="HA5" s="281"/>
      <c r="HB5" s="281"/>
      <c r="HC5" s="281"/>
      <c r="HD5" s="281"/>
      <c r="HE5" s="281"/>
      <c r="HF5" s="281"/>
      <c r="HG5" s="281"/>
      <c r="HH5" s="281"/>
      <c r="HI5" s="281"/>
      <c r="HJ5" s="281"/>
      <c r="HK5" s="281"/>
      <c r="HL5" s="281"/>
      <c r="HM5" s="281"/>
      <c r="HN5" s="281"/>
      <c r="HO5" s="281"/>
      <c r="HP5" s="281"/>
    </row>
    <row r="6" spans="1:224" ht="22.35" customHeight="1" thickBot="1">
      <c r="A6" s="285"/>
      <c r="C6" s="286"/>
      <c r="D6" s="286"/>
      <c r="E6" s="286"/>
      <c r="F6" s="286"/>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row>
    <row r="7" spans="1:224" ht="30" customHeight="1" thickBot="1">
      <c r="A7" s="1035" t="s">
        <v>625</v>
      </c>
      <c r="B7" s="1036"/>
      <c r="C7" s="1029" t="s">
        <v>739</v>
      </c>
      <c r="D7" s="1030"/>
      <c r="E7" s="1030"/>
      <c r="F7" s="1031"/>
      <c r="G7" s="289"/>
      <c r="H7" s="290"/>
      <c r="I7" s="291"/>
      <c r="J7" s="291"/>
      <c r="K7" s="292"/>
      <c r="L7" s="292"/>
      <c r="M7" s="292"/>
      <c r="N7" s="292"/>
      <c r="O7" s="290"/>
      <c r="P7" s="290"/>
      <c r="Q7" s="290"/>
      <c r="R7" s="290"/>
      <c r="S7" s="290"/>
      <c r="T7" s="290"/>
      <c r="U7" s="290"/>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row>
    <row r="8" spans="1:224" s="285" customFormat="1" ht="114.6" customHeight="1" thickBot="1">
      <c r="A8" s="1162" t="s">
        <v>646</v>
      </c>
      <c r="B8" s="1163"/>
      <c r="C8" s="293" t="s">
        <v>284</v>
      </c>
      <c r="D8" s="294" t="s">
        <v>647</v>
      </c>
      <c r="E8" s="694" t="s">
        <v>648</v>
      </c>
      <c r="F8" s="295" t="s">
        <v>649</v>
      </c>
      <c r="G8" s="296"/>
      <c r="H8" s="297"/>
      <c r="I8" s="298"/>
      <c r="J8" s="291"/>
      <c r="K8" s="299"/>
      <c r="L8" s="299"/>
      <c r="M8" s="299"/>
      <c r="N8" s="299"/>
      <c r="O8" s="297"/>
      <c r="P8" s="297"/>
      <c r="Q8" s="297"/>
      <c r="R8" s="300"/>
      <c r="S8" s="300"/>
      <c r="T8" s="300"/>
      <c r="U8" s="300"/>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c r="ED8" s="288"/>
      <c r="EE8" s="288"/>
      <c r="EF8" s="288"/>
      <c r="EG8" s="288"/>
      <c r="EH8" s="288"/>
      <c r="EI8" s="288"/>
      <c r="EJ8" s="288"/>
      <c r="EK8" s="288"/>
      <c r="EL8" s="288"/>
      <c r="EM8" s="288"/>
      <c r="EN8" s="288"/>
      <c r="EO8" s="288"/>
      <c r="EP8" s="288"/>
      <c r="EQ8" s="288"/>
      <c r="ER8" s="288"/>
      <c r="ES8" s="288"/>
      <c r="ET8" s="288"/>
      <c r="EU8" s="288"/>
      <c r="EV8" s="288"/>
      <c r="EW8" s="288"/>
      <c r="EX8" s="288"/>
      <c r="EY8" s="288"/>
      <c r="EZ8" s="288"/>
      <c r="FA8" s="288"/>
      <c r="FB8" s="288"/>
      <c r="FC8" s="288"/>
      <c r="FD8" s="288"/>
      <c r="FE8" s="288"/>
      <c r="FF8" s="288"/>
      <c r="FG8" s="288"/>
      <c r="FH8" s="288"/>
      <c r="FI8" s="288"/>
      <c r="FJ8" s="288"/>
      <c r="FK8" s="288"/>
      <c r="FL8" s="288"/>
      <c r="FM8" s="288"/>
      <c r="FN8" s="288"/>
      <c r="FO8" s="288"/>
      <c r="FP8" s="288"/>
      <c r="FQ8" s="288"/>
      <c r="FR8" s="288"/>
      <c r="FS8" s="288"/>
      <c r="FT8" s="288"/>
      <c r="FU8" s="288"/>
      <c r="FV8" s="288"/>
      <c r="FW8" s="288"/>
      <c r="FX8" s="288"/>
      <c r="FY8" s="288"/>
      <c r="FZ8" s="288"/>
      <c r="GA8" s="288"/>
      <c r="GB8" s="288"/>
      <c r="GC8" s="288"/>
      <c r="GD8" s="288"/>
      <c r="GE8" s="288"/>
      <c r="GF8" s="288"/>
      <c r="GG8" s="288"/>
      <c r="GH8" s="288"/>
      <c r="GI8" s="288"/>
      <c r="GJ8" s="288"/>
      <c r="GK8" s="288"/>
      <c r="GL8" s="288"/>
      <c r="GM8" s="288"/>
      <c r="GN8" s="288"/>
      <c r="GO8" s="288"/>
      <c r="GP8" s="288"/>
      <c r="GQ8" s="288"/>
      <c r="GR8" s="288"/>
      <c r="GS8" s="288"/>
      <c r="GT8" s="288"/>
      <c r="GU8" s="288"/>
      <c r="GV8" s="288"/>
      <c r="GW8" s="288"/>
      <c r="GX8" s="288"/>
      <c r="GY8" s="288"/>
      <c r="GZ8" s="288"/>
      <c r="HA8" s="288"/>
      <c r="HB8" s="288"/>
      <c r="HC8" s="288"/>
      <c r="HD8" s="288"/>
      <c r="HE8" s="288"/>
      <c r="HF8" s="288"/>
      <c r="HG8" s="288"/>
      <c r="HH8" s="288"/>
      <c r="HI8" s="288"/>
      <c r="HJ8" s="288"/>
      <c r="HK8" s="288"/>
      <c r="HL8" s="288"/>
      <c r="HM8" s="288"/>
      <c r="HN8" s="288"/>
      <c r="HO8" s="288"/>
      <c r="HP8" s="288"/>
    </row>
    <row r="9" spans="1:224" s="285" customFormat="1" ht="30" customHeight="1" thickBot="1">
      <c r="A9" s="1027" t="s">
        <v>424</v>
      </c>
      <c r="B9" s="1032"/>
      <c r="C9" s="333"/>
      <c r="D9" s="350"/>
      <c r="E9" s="350"/>
      <c r="F9" s="350"/>
      <c r="G9" s="301"/>
      <c r="H9" s="302"/>
      <c r="I9" s="298"/>
      <c r="J9" s="291"/>
      <c r="K9" s="299"/>
      <c r="L9" s="299"/>
      <c r="M9" s="299"/>
      <c r="N9" s="299"/>
      <c r="O9" s="302"/>
      <c r="P9" s="302"/>
      <c r="Q9" s="302"/>
      <c r="R9" s="303"/>
      <c r="S9" s="303"/>
      <c r="T9" s="303"/>
      <c r="U9" s="303"/>
    </row>
    <row r="10" spans="1:224" s="309" customFormat="1" ht="30" customHeight="1">
      <c r="A10" s="304" t="s">
        <v>425</v>
      </c>
      <c r="B10" s="317"/>
      <c r="C10" s="695" t="s">
        <v>426</v>
      </c>
      <c r="D10" s="576"/>
      <c r="E10" s="576">
        <v>0</v>
      </c>
      <c r="F10" s="305">
        <f t="shared" ref="F10:F81" si="0">+D10+E10</f>
        <v>0</v>
      </c>
      <c r="G10" s="306"/>
      <c r="H10" s="307"/>
      <c r="I10" s="298"/>
      <c r="J10" s="291"/>
      <c r="K10" s="299"/>
      <c r="L10" s="299"/>
      <c r="M10" s="299"/>
      <c r="N10" s="299"/>
      <c r="O10" s="307"/>
      <c r="P10" s="307"/>
      <c r="Q10" s="307"/>
      <c r="R10" s="308"/>
      <c r="S10" s="308"/>
      <c r="T10" s="308"/>
      <c r="U10" s="308"/>
    </row>
    <row r="11" spans="1:224" s="309" customFormat="1" ht="30" customHeight="1">
      <c r="A11" s="884" t="s">
        <v>427</v>
      </c>
      <c r="B11" s="885"/>
      <c r="C11" s="886" t="s">
        <v>428</v>
      </c>
      <c r="D11" s="887">
        <f>898952</f>
        <v>898952</v>
      </c>
      <c r="E11" s="887">
        <v>0</v>
      </c>
      <c r="F11" s="888">
        <f t="shared" si="0"/>
        <v>898952</v>
      </c>
      <c r="G11" s="306"/>
      <c r="H11" s="307"/>
      <c r="I11" s="298"/>
      <c r="J11" s="291"/>
      <c r="K11" s="299"/>
      <c r="L11" s="299"/>
      <c r="M11" s="299"/>
      <c r="N11" s="299"/>
      <c r="O11" s="307"/>
      <c r="P11" s="307"/>
      <c r="Q11" s="307"/>
      <c r="R11" s="308"/>
      <c r="S11" s="308"/>
      <c r="T11" s="308"/>
      <c r="U11" s="308"/>
    </row>
    <row r="12" spans="1:224" s="309" customFormat="1" ht="30" customHeight="1">
      <c r="A12" s="884" t="s">
        <v>429</v>
      </c>
      <c r="B12" s="885"/>
      <c r="C12" s="886" t="s">
        <v>430</v>
      </c>
      <c r="D12" s="887">
        <v>0</v>
      </c>
      <c r="E12" s="887">
        <v>0</v>
      </c>
      <c r="F12" s="888">
        <f t="shared" si="0"/>
        <v>0</v>
      </c>
      <c r="G12" s="306"/>
      <c r="H12" s="307"/>
      <c r="I12" s="298"/>
      <c r="J12" s="291"/>
      <c r="K12" s="299"/>
      <c r="L12" s="299"/>
      <c r="M12" s="299"/>
      <c r="N12" s="299"/>
      <c r="O12" s="307"/>
      <c r="P12" s="307"/>
      <c r="Q12" s="307"/>
      <c r="R12" s="308"/>
      <c r="S12" s="308"/>
      <c r="T12" s="308"/>
      <c r="U12" s="308"/>
    </row>
    <row r="13" spans="1:224" s="309" customFormat="1" ht="30" customHeight="1">
      <c r="A13" s="884" t="s">
        <v>431</v>
      </c>
      <c r="B13" s="885"/>
      <c r="C13" s="886" t="s">
        <v>432</v>
      </c>
      <c r="D13" s="887">
        <v>0</v>
      </c>
      <c r="E13" s="887">
        <v>0</v>
      </c>
      <c r="F13" s="888">
        <f t="shared" si="0"/>
        <v>0</v>
      </c>
      <c r="G13" s="306"/>
      <c r="H13" s="307"/>
      <c r="I13" s="298"/>
      <c r="J13" s="291"/>
      <c r="K13" s="299"/>
      <c r="L13" s="299"/>
      <c r="M13" s="299"/>
      <c r="N13" s="299"/>
      <c r="O13" s="307"/>
      <c r="P13" s="307"/>
      <c r="Q13" s="307"/>
      <c r="R13" s="308"/>
      <c r="S13" s="308"/>
      <c r="T13" s="308"/>
      <c r="U13" s="308"/>
    </row>
    <row r="14" spans="1:224" s="309" customFormat="1" ht="30" customHeight="1">
      <c r="A14" s="884" t="s">
        <v>433</v>
      </c>
      <c r="B14" s="885"/>
      <c r="C14" s="886" t="s">
        <v>434</v>
      </c>
      <c r="D14" s="887">
        <v>0</v>
      </c>
      <c r="E14" s="887">
        <v>0</v>
      </c>
      <c r="F14" s="888">
        <f t="shared" si="0"/>
        <v>0</v>
      </c>
      <c r="G14" s="306"/>
      <c r="H14" s="307"/>
      <c r="I14" s="298"/>
      <c r="J14" s="291"/>
      <c r="K14" s="299"/>
      <c r="L14" s="299"/>
      <c r="M14" s="299"/>
      <c r="N14" s="299"/>
      <c r="O14" s="307"/>
      <c r="P14" s="307"/>
      <c r="Q14" s="307"/>
      <c r="R14" s="308"/>
      <c r="S14" s="308"/>
      <c r="T14" s="308"/>
      <c r="U14" s="308"/>
    </row>
    <row r="15" spans="1:224" s="309" customFormat="1" ht="30" customHeight="1">
      <c r="A15" s="884" t="s">
        <v>435</v>
      </c>
      <c r="B15" s="885"/>
      <c r="C15" s="886" t="s">
        <v>436</v>
      </c>
      <c r="D15" s="887">
        <f>3726095+44545</f>
        <v>3770640</v>
      </c>
      <c r="E15" s="887">
        <v>0</v>
      </c>
      <c r="F15" s="888">
        <f t="shared" si="0"/>
        <v>3770640</v>
      </c>
      <c r="G15" s="306"/>
      <c r="H15" s="307"/>
      <c r="I15" s="298"/>
      <c r="J15" s="291"/>
      <c r="K15" s="310"/>
      <c r="L15" s="310"/>
      <c r="M15" s="310"/>
      <c r="N15" s="310"/>
      <c r="O15" s="307"/>
      <c r="P15" s="307"/>
      <c r="Q15" s="307"/>
      <c r="R15" s="308"/>
      <c r="S15" s="308"/>
      <c r="T15" s="308"/>
      <c r="U15" s="308"/>
    </row>
    <row r="16" spans="1:224" s="309" customFormat="1" ht="30" customHeight="1">
      <c r="A16" s="884" t="s">
        <v>437</v>
      </c>
      <c r="B16" s="885"/>
      <c r="C16" s="886" t="s">
        <v>438</v>
      </c>
      <c r="D16" s="887">
        <f>642606</f>
        <v>642606</v>
      </c>
      <c r="E16" s="887">
        <v>0</v>
      </c>
      <c r="F16" s="888">
        <f t="shared" si="0"/>
        <v>642606</v>
      </c>
      <c r="G16" s="306"/>
      <c r="H16" s="307"/>
      <c r="I16" s="307"/>
      <c r="J16" s="307"/>
      <c r="K16" s="307"/>
      <c r="L16" s="307"/>
      <c r="M16" s="307"/>
      <c r="N16" s="307"/>
      <c r="O16" s="307"/>
      <c r="P16" s="307"/>
      <c r="Q16" s="307"/>
      <c r="R16" s="308"/>
      <c r="S16" s="308"/>
      <c r="T16" s="308"/>
      <c r="U16" s="308"/>
    </row>
    <row r="17" spans="1:21" s="309" customFormat="1" ht="30" customHeight="1">
      <c r="A17" s="884" t="s">
        <v>439</v>
      </c>
      <c r="B17" s="885"/>
      <c r="C17" s="886" t="s">
        <v>440</v>
      </c>
      <c r="D17" s="887">
        <v>0</v>
      </c>
      <c r="E17" s="887">
        <v>0</v>
      </c>
      <c r="F17" s="888">
        <f t="shared" si="0"/>
        <v>0</v>
      </c>
      <c r="G17" s="306"/>
      <c r="H17" s="307"/>
      <c r="I17" s="307"/>
      <c r="J17" s="307"/>
      <c r="K17" s="307"/>
      <c r="L17" s="307"/>
      <c r="M17" s="307"/>
      <c r="N17" s="307"/>
      <c r="O17" s="307"/>
      <c r="P17" s="307"/>
      <c r="Q17" s="307"/>
      <c r="R17" s="308"/>
      <c r="S17" s="308"/>
      <c r="T17" s="308"/>
      <c r="U17" s="308"/>
    </row>
    <row r="18" spans="1:21" s="309" customFormat="1" ht="30" customHeight="1">
      <c r="A18" s="884" t="s">
        <v>441</v>
      </c>
      <c r="B18" s="885"/>
      <c r="C18" s="886" t="s">
        <v>442</v>
      </c>
      <c r="D18" s="887">
        <v>100819</v>
      </c>
      <c r="E18" s="887">
        <v>0</v>
      </c>
      <c r="F18" s="888">
        <f t="shared" si="0"/>
        <v>100819</v>
      </c>
      <c r="G18" s="306"/>
      <c r="H18" s="307"/>
      <c r="I18" s="307"/>
      <c r="J18" s="307"/>
      <c r="K18" s="307"/>
      <c r="L18" s="307"/>
      <c r="M18" s="307"/>
      <c r="N18" s="307"/>
      <c r="O18" s="307"/>
      <c r="P18" s="307"/>
      <c r="Q18" s="307"/>
      <c r="R18" s="308"/>
      <c r="S18" s="308"/>
      <c r="T18" s="308"/>
      <c r="U18" s="308"/>
    </row>
    <row r="19" spans="1:21" s="309" customFormat="1" ht="30" customHeight="1">
      <c r="A19" s="884" t="s">
        <v>443</v>
      </c>
      <c r="B19" s="885"/>
      <c r="C19" s="886" t="s">
        <v>444</v>
      </c>
      <c r="D19" s="887">
        <v>0</v>
      </c>
      <c r="E19" s="887">
        <v>0</v>
      </c>
      <c r="F19" s="888">
        <f t="shared" si="0"/>
        <v>0</v>
      </c>
      <c r="G19" s="306"/>
      <c r="H19" s="307"/>
      <c r="I19" s="307"/>
      <c r="J19" s="307"/>
      <c r="K19" s="307"/>
      <c r="L19" s="307"/>
      <c r="M19" s="307"/>
      <c r="N19" s="307"/>
      <c r="O19" s="307"/>
      <c r="P19" s="307"/>
      <c r="Q19" s="307"/>
      <c r="R19" s="308"/>
      <c r="S19" s="308"/>
      <c r="T19" s="308"/>
      <c r="U19" s="308"/>
    </row>
    <row r="20" spans="1:21" s="309" customFormat="1" ht="30" customHeight="1">
      <c r="A20" s="884" t="s">
        <v>445</v>
      </c>
      <c r="B20" s="885"/>
      <c r="C20" s="886">
        <v>52500</v>
      </c>
      <c r="D20" s="887">
        <v>0</v>
      </c>
      <c r="E20" s="887">
        <v>0</v>
      </c>
      <c r="F20" s="888">
        <f>+D20+E20</f>
        <v>0</v>
      </c>
      <c r="G20" s="306"/>
      <c r="H20" s="307"/>
      <c r="I20" s="307"/>
      <c r="J20" s="307"/>
      <c r="K20" s="307"/>
      <c r="L20" s="307"/>
      <c r="M20" s="307"/>
      <c r="N20" s="307"/>
      <c r="O20" s="307"/>
      <c r="P20" s="307"/>
      <c r="Q20" s="307"/>
      <c r="R20" s="308"/>
      <c r="S20" s="308"/>
      <c r="T20" s="308"/>
      <c r="U20" s="308"/>
    </row>
    <row r="21" spans="1:21" s="309" customFormat="1" ht="30" customHeight="1">
      <c r="A21" s="884" t="s">
        <v>446</v>
      </c>
      <c r="B21" s="885"/>
      <c r="C21" s="886" t="s">
        <v>447</v>
      </c>
      <c r="D21" s="887">
        <v>0</v>
      </c>
      <c r="E21" s="887">
        <v>0</v>
      </c>
      <c r="F21" s="888">
        <f t="shared" si="0"/>
        <v>0</v>
      </c>
      <c r="G21" s="306"/>
      <c r="H21" s="307"/>
      <c r="I21" s="307"/>
      <c r="J21" s="307"/>
      <c r="K21" s="307"/>
      <c r="L21" s="307"/>
      <c r="M21" s="307"/>
      <c r="N21" s="307"/>
      <c r="O21" s="307"/>
      <c r="P21" s="307"/>
      <c r="Q21" s="307"/>
      <c r="R21" s="308"/>
      <c r="S21" s="308"/>
      <c r="T21" s="308"/>
      <c r="U21" s="308"/>
    </row>
    <row r="22" spans="1:21" s="309" customFormat="1" ht="30" customHeight="1">
      <c r="A22" s="884" t="s">
        <v>448</v>
      </c>
      <c r="B22" s="885"/>
      <c r="C22" s="886" t="s">
        <v>449</v>
      </c>
      <c r="D22" s="887">
        <v>0</v>
      </c>
      <c r="E22" s="887">
        <v>0</v>
      </c>
      <c r="F22" s="888">
        <f t="shared" si="0"/>
        <v>0</v>
      </c>
      <c r="G22" s="306"/>
      <c r="H22" s="307"/>
      <c r="I22" s="307"/>
      <c r="J22" s="307"/>
      <c r="K22" s="307"/>
      <c r="L22" s="307"/>
      <c r="M22" s="307"/>
      <c r="N22" s="307"/>
      <c r="O22" s="307"/>
      <c r="P22" s="307"/>
      <c r="Q22" s="307"/>
      <c r="R22" s="308"/>
      <c r="S22" s="308"/>
      <c r="T22" s="308"/>
      <c r="U22" s="308"/>
    </row>
    <row r="23" spans="1:21" s="309" customFormat="1" ht="30" customHeight="1">
      <c r="A23" s="884" t="s">
        <v>450</v>
      </c>
      <c r="B23" s="885"/>
      <c r="C23" s="886" t="s">
        <v>451</v>
      </c>
      <c r="D23" s="887">
        <v>0</v>
      </c>
      <c r="E23" s="887">
        <v>0</v>
      </c>
      <c r="F23" s="888">
        <f t="shared" si="0"/>
        <v>0</v>
      </c>
      <c r="G23" s="306"/>
      <c r="H23" s="307"/>
      <c r="I23" s="307"/>
      <c r="J23" s="307"/>
      <c r="K23" s="307"/>
      <c r="L23" s="307"/>
      <c r="M23" s="307"/>
      <c r="N23" s="307"/>
      <c r="O23" s="307"/>
      <c r="P23" s="307"/>
      <c r="Q23" s="307"/>
      <c r="R23" s="308"/>
      <c r="S23" s="308"/>
      <c r="T23" s="308"/>
      <c r="U23" s="308"/>
    </row>
    <row r="24" spans="1:21" s="309" customFormat="1" ht="30" customHeight="1">
      <c r="A24" s="884" t="s">
        <v>452</v>
      </c>
      <c r="B24" s="885"/>
      <c r="C24" s="886" t="s">
        <v>453</v>
      </c>
      <c r="D24" s="887">
        <v>0</v>
      </c>
      <c r="E24" s="887">
        <v>0</v>
      </c>
      <c r="F24" s="888">
        <f t="shared" si="0"/>
        <v>0</v>
      </c>
      <c r="G24" s="306"/>
      <c r="H24" s="307"/>
      <c r="I24" s="307"/>
      <c r="J24" s="307"/>
      <c r="K24" s="307"/>
      <c r="L24" s="307"/>
      <c r="M24" s="307"/>
      <c r="N24" s="307"/>
      <c r="O24" s="307"/>
      <c r="P24" s="307"/>
      <c r="Q24" s="307"/>
      <c r="R24" s="308"/>
      <c r="S24" s="308"/>
      <c r="T24" s="308"/>
      <c r="U24" s="308"/>
    </row>
    <row r="25" spans="1:21" s="309" customFormat="1" ht="30" customHeight="1">
      <c r="A25" s="884" t="s">
        <v>454</v>
      </c>
      <c r="B25" s="885"/>
      <c r="C25" s="886" t="s">
        <v>455</v>
      </c>
      <c r="D25" s="887">
        <f>793012+343119</f>
        <v>1136131</v>
      </c>
      <c r="E25" s="887">
        <v>0</v>
      </c>
      <c r="F25" s="888">
        <f t="shared" si="0"/>
        <v>1136131</v>
      </c>
      <c r="G25" s="306"/>
      <c r="H25" s="307"/>
      <c r="I25" s="307"/>
      <c r="J25" s="307"/>
      <c r="K25" s="307"/>
      <c r="L25" s="307"/>
      <c r="M25" s="307"/>
      <c r="N25" s="307"/>
      <c r="O25" s="307"/>
      <c r="P25" s="307"/>
      <c r="Q25" s="307"/>
      <c r="R25" s="308"/>
      <c r="S25" s="308"/>
      <c r="T25" s="308"/>
      <c r="U25" s="308"/>
    </row>
    <row r="26" spans="1:21" s="309" customFormat="1" ht="30" customHeight="1">
      <c r="A26" s="884" t="s">
        <v>456</v>
      </c>
      <c r="B26" s="885"/>
      <c r="C26" s="886" t="s">
        <v>457</v>
      </c>
      <c r="D26" s="887">
        <v>0</v>
      </c>
      <c r="E26" s="887">
        <v>0</v>
      </c>
      <c r="F26" s="888">
        <f t="shared" si="0"/>
        <v>0</v>
      </c>
      <c r="G26" s="306"/>
      <c r="H26" s="307"/>
      <c r="I26" s="307"/>
      <c r="J26" s="307"/>
      <c r="K26" s="307"/>
      <c r="L26" s="307"/>
      <c r="M26" s="307"/>
      <c r="N26" s="307"/>
      <c r="O26" s="307"/>
      <c r="P26" s="307"/>
      <c r="Q26" s="307"/>
      <c r="R26" s="308"/>
      <c r="S26" s="308"/>
      <c r="T26" s="308"/>
      <c r="U26" s="308"/>
    </row>
    <row r="27" spans="1:21" s="309" customFormat="1" ht="30" customHeight="1">
      <c r="A27" s="884" t="s">
        <v>458</v>
      </c>
      <c r="B27" s="885"/>
      <c r="C27" s="886" t="s">
        <v>459</v>
      </c>
      <c r="D27" s="887">
        <v>0</v>
      </c>
      <c r="E27" s="887">
        <v>0</v>
      </c>
      <c r="F27" s="888">
        <f t="shared" si="0"/>
        <v>0</v>
      </c>
      <c r="G27" s="306"/>
      <c r="H27" s="307"/>
      <c r="I27" s="307"/>
      <c r="J27" s="307"/>
      <c r="K27" s="307"/>
      <c r="L27" s="307"/>
      <c r="M27" s="307"/>
      <c r="N27" s="307"/>
      <c r="O27" s="307"/>
      <c r="P27" s="307"/>
      <c r="Q27" s="307"/>
      <c r="R27" s="308"/>
      <c r="S27" s="308"/>
      <c r="T27" s="308"/>
      <c r="U27" s="308"/>
    </row>
    <row r="28" spans="1:21" s="309" customFormat="1" ht="30" customHeight="1">
      <c r="A28" s="884" t="s">
        <v>460</v>
      </c>
      <c r="B28" s="885"/>
      <c r="C28" s="886" t="s">
        <v>461</v>
      </c>
      <c r="D28" s="887">
        <v>0</v>
      </c>
      <c r="E28" s="887">
        <v>0</v>
      </c>
      <c r="F28" s="888">
        <f t="shared" si="0"/>
        <v>0</v>
      </c>
      <c r="G28" s="306"/>
      <c r="H28" s="307"/>
      <c r="I28" s="307"/>
      <c r="J28" s="307"/>
      <c r="K28" s="307"/>
      <c r="L28" s="307"/>
      <c r="M28" s="307"/>
      <c r="N28" s="307"/>
      <c r="O28" s="307"/>
      <c r="P28" s="307"/>
      <c r="Q28" s="307"/>
      <c r="R28" s="308"/>
      <c r="S28" s="308"/>
      <c r="T28" s="308"/>
      <c r="U28" s="308"/>
    </row>
    <row r="29" spans="1:21" s="309" customFormat="1" ht="30" customHeight="1">
      <c r="A29" s="884" t="s">
        <v>462</v>
      </c>
      <c r="B29" s="885"/>
      <c r="C29" s="886" t="s">
        <v>463</v>
      </c>
      <c r="D29" s="887">
        <v>0</v>
      </c>
      <c r="E29" s="887">
        <v>0</v>
      </c>
      <c r="F29" s="888">
        <f t="shared" si="0"/>
        <v>0</v>
      </c>
      <c r="G29" s="306"/>
      <c r="H29" s="307"/>
      <c r="I29" s="307"/>
      <c r="J29" s="307"/>
      <c r="K29" s="307"/>
      <c r="L29" s="307"/>
      <c r="M29" s="307"/>
      <c r="N29" s="307"/>
      <c r="O29" s="307"/>
      <c r="P29" s="307"/>
      <c r="Q29" s="307"/>
      <c r="R29" s="308"/>
      <c r="S29" s="308"/>
      <c r="T29" s="308"/>
      <c r="U29" s="308"/>
    </row>
    <row r="30" spans="1:21" s="309" customFormat="1" ht="30" customHeight="1">
      <c r="A30" s="884" t="s">
        <v>464</v>
      </c>
      <c r="B30" s="885"/>
      <c r="C30" s="886" t="s">
        <v>465</v>
      </c>
      <c r="D30" s="887">
        <f>472285</f>
        <v>472285</v>
      </c>
      <c r="E30" s="887">
        <v>0</v>
      </c>
      <c r="F30" s="888">
        <f t="shared" si="0"/>
        <v>472285</v>
      </c>
      <c r="G30" s="306"/>
      <c r="H30" s="307"/>
      <c r="I30" s="307"/>
      <c r="J30" s="307"/>
      <c r="K30" s="307"/>
      <c r="L30" s="307"/>
      <c r="M30" s="307"/>
      <c r="N30" s="307"/>
      <c r="O30" s="307"/>
      <c r="P30" s="307"/>
      <c r="Q30" s="307"/>
      <c r="R30" s="308"/>
      <c r="S30" s="308"/>
      <c r="T30" s="308"/>
      <c r="U30" s="308"/>
    </row>
    <row r="31" spans="1:21" s="309" customFormat="1" ht="30" customHeight="1">
      <c r="A31" s="884" t="s">
        <v>466</v>
      </c>
      <c r="B31" s="885"/>
      <c r="C31" s="886" t="s">
        <v>467</v>
      </c>
      <c r="D31" s="887">
        <v>1450</v>
      </c>
      <c r="E31" s="887">
        <v>0</v>
      </c>
      <c r="F31" s="888">
        <f t="shared" si="0"/>
        <v>1450</v>
      </c>
      <c r="G31" s="306"/>
      <c r="H31" s="307"/>
      <c r="I31" s="307"/>
      <c r="J31" s="307"/>
      <c r="K31" s="307"/>
      <c r="L31" s="307"/>
      <c r="M31" s="307"/>
      <c r="N31" s="307"/>
      <c r="O31" s="307"/>
      <c r="P31" s="307"/>
      <c r="Q31" s="307"/>
      <c r="R31" s="308"/>
      <c r="S31" s="308"/>
      <c r="T31" s="308"/>
      <c r="U31" s="308"/>
    </row>
    <row r="32" spans="1:21" s="309" customFormat="1" ht="30" customHeight="1">
      <c r="A32" s="884" t="s">
        <v>468</v>
      </c>
      <c r="B32" s="885"/>
      <c r="C32" s="886" t="s">
        <v>469</v>
      </c>
      <c r="D32" s="887">
        <v>0</v>
      </c>
      <c r="E32" s="887">
        <v>0</v>
      </c>
      <c r="F32" s="888">
        <f>+D32+E32</f>
        <v>0</v>
      </c>
      <c r="G32" s="306"/>
      <c r="H32" s="307"/>
      <c r="I32" s="307"/>
      <c r="J32" s="307"/>
      <c r="K32" s="307"/>
      <c r="L32" s="307"/>
      <c r="M32" s="307"/>
      <c r="N32" s="307"/>
      <c r="O32" s="307"/>
      <c r="P32" s="307"/>
      <c r="Q32" s="307"/>
      <c r="R32" s="308"/>
      <c r="S32" s="308"/>
      <c r="T32" s="308"/>
      <c r="U32" s="308"/>
    </row>
    <row r="33" spans="1:21" s="309" customFormat="1" ht="30" customHeight="1">
      <c r="A33" s="884" t="s">
        <v>470</v>
      </c>
      <c r="B33" s="885"/>
      <c r="C33" s="886" t="s">
        <v>471</v>
      </c>
      <c r="D33" s="887">
        <v>0</v>
      </c>
      <c r="E33" s="887">
        <v>0</v>
      </c>
      <c r="F33" s="888">
        <f t="shared" si="0"/>
        <v>0</v>
      </c>
      <c r="G33" s="306"/>
      <c r="H33" s="307"/>
      <c r="I33" s="307"/>
      <c r="J33" s="307"/>
      <c r="K33" s="307"/>
      <c r="L33" s="307"/>
      <c r="M33" s="307"/>
      <c r="N33" s="307"/>
      <c r="O33" s="307"/>
      <c r="P33" s="307"/>
      <c r="Q33" s="307"/>
      <c r="R33" s="308"/>
      <c r="S33" s="308"/>
      <c r="T33" s="308"/>
      <c r="U33" s="308"/>
    </row>
    <row r="34" spans="1:21" s="309" customFormat="1" ht="30" customHeight="1">
      <c r="A34" s="884" t="s">
        <v>472</v>
      </c>
      <c r="B34" s="885"/>
      <c r="C34" s="886" t="s">
        <v>473</v>
      </c>
      <c r="D34" s="887"/>
      <c r="E34" s="887">
        <v>0</v>
      </c>
      <c r="F34" s="888">
        <f t="shared" si="0"/>
        <v>0</v>
      </c>
      <c r="G34" s="306"/>
      <c r="H34" s="307"/>
      <c r="I34" s="307"/>
      <c r="J34" s="307"/>
      <c r="K34" s="307"/>
      <c r="L34" s="307"/>
      <c r="M34" s="307"/>
      <c r="N34" s="307"/>
      <c r="O34" s="307"/>
      <c r="P34" s="307"/>
      <c r="Q34" s="307"/>
      <c r="R34" s="308"/>
      <c r="S34" s="308"/>
      <c r="T34" s="308"/>
      <c r="U34" s="308"/>
    </row>
    <row r="35" spans="1:21" s="309" customFormat="1" ht="30" customHeight="1">
      <c r="A35" s="884" t="s">
        <v>474</v>
      </c>
      <c r="B35" s="885"/>
      <c r="C35" s="886">
        <v>56001</v>
      </c>
      <c r="D35" s="887">
        <v>954889</v>
      </c>
      <c r="E35" s="887">
        <v>0</v>
      </c>
      <c r="F35" s="888">
        <f>+D35+E35</f>
        <v>954889</v>
      </c>
      <c r="G35" s="306"/>
      <c r="H35" s="307"/>
      <c r="I35" s="307"/>
      <c r="J35" s="307"/>
      <c r="K35" s="307"/>
      <c r="L35" s="307"/>
      <c r="M35" s="307"/>
      <c r="N35" s="307"/>
      <c r="O35" s="307"/>
      <c r="P35" s="307"/>
      <c r="Q35" s="307"/>
      <c r="R35" s="308"/>
      <c r="S35" s="308"/>
      <c r="T35" s="308"/>
      <c r="U35" s="308"/>
    </row>
    <row r="36" spans="1:21" s="309" customFormat="1" ht="30" customHeight="1">
      <c r="A36" s="884" t="s">
        <v>475</v>
      </c>
      <c r="B36" s="885"/>
      <c r="C36" s="886">
        <v>56002</v>
      </c>
      <c r="D36" s="887">
        <v>0</v>
      </c>
      <c r="E36" s="887">
        <v>0</v>
      </c>
      <c r="F36" s="888">
        <f>+D36+E36</f>
        <v>0</v>
      </c>
      <c r="G36" s="306"/>
      <c r="H36" s="307"/>
      <c r="I36" s="307"/>
      <c r="J36" s="307"/>
      <c r="K36" s="307"/>
      <c r="L36" s="307"/>
      <c r="M36" s="307"/>
      <c r="N36" s="307"/>
      <c r="O36" s="307"/>
      <c r="P36" s="307"/>
      <c r="Q36" s="307"/>
      <c r="R36" s="308"/>
      <c r="S36" s="308"/>
      <c r="T36" s="308"/>
      <c r="U36" s="308"/>
    </row>
    <row r="37" spans="1:21" s="309" customFormat="1" ht="30" customHeight="1">
      <c r="A37" s="884" t="s">
        <v>476</v>
      </c>
      <c r="B37" s="885"/>
      <c r="C37" s="886">
        <v>56003</v>
      </c>
      <c r="D37" s="887">
        <v>0</v>
      </c>
      <c r="E37" s="887">
        <v>0</v>
      </c>
      <c r="F37" s="888">
        <f>+D37+E37</f>
        <v>0</v>
      </c>
      <c r="G37" s="306"/>
      <c r="H37" s="307"/>
      <c r="I37" s="307"/>
      <c r="J37" s="307"/>
      <c r="K37" s="307"/>
      <c r="L37" s="307"/>
      <c r="M37" s="307"/>
      <c r="N37" s="307"/>
      <c r="O37" s="307"/>
      <c r="P37" s="307"/>
      <c r="Q37" s="307"/>
      <c r="R37" s="308"/>
      <c r="S37" s="308"/>
      <c r="T37" s="308"/>
      <c r="U37" s="308"/>
    </row>
    <row r="38" spans="1:21" s="309" customFormat="1" ht="30" customHeight="1">
      <c r="A38" s="884" t="s">
        <v>477</v>
      </c>
      <c r="B38" s="885"/>
      <c r="C38" s="886" t="s">
        <v>478</v>
      </c>
      <c r="D38" s="887">
        <v>0</v>
      </c>
      <c r="E38" s="887">
        <v>0</v>
      </c>
      <c r="F38" s="888">
        <f>+D38+E38</f>
        <v>0</v>
      </c>
      <c r="G38" s="306"/>
      <c r="H38" s="307"/>
      <c r="I38" s="307"/>
      <c r="J38" s="307"/>
      <c r="K38" s="307"/>
      <c r="L38" s="307"/>
      <c r="M38" s="307"/>
      <c r="N38" s="307"/>
      <c r="O38" s="307"/>
      <c r="P38" s="307"/>
      <c r="Q38" s="307"/>
      <c r="R38" s="308"/>
      <c r="S38" s="308"/>
      <c r="T38" s="308"/>
      <c r="U38" s="308"/>
    </row>
    <row r="39" spans="1:21" s="309" customFormat="1" ht="30" customHeight="1">
      <c r="A39" s="884" t="s">
        <v>479</v>
      </c>
      <c r="B39" s="885"/>
      <c r="C39" s="886" t="s">
        <v>480</v>
      </c>
      <c r="D39" s="887">
        <v>0</v>
      </c>
      <c r="E39" s="887">
        <v>0</v>
      </c>
      <c r="F39" s="888">
        <f t="shared" si="0"/>
        <v>0</v>
      </c>
      <c r="G39" s="306"/>
      <c r="H39" s="307"/>
      <c r="I39" s="307"/>
      <c r="J39" s="307"/>
      <c r="K39" s="307"/>
      <c r="L39" s="307"/>
      <c r="M39" s="307"/>
      <c r="N39" s="307"/>
      <c r="O39" s="307"/>
      <c r="P39" s="307"/>
      <c r="Q39" s="307"/>
      <c r="R39" s="308"/>
      <c r="S39" s="308"/>
      <c r="T39" s="308"/>
      <c r="U39" s="308"/>
    </row>
    <row r="40" spans="1:21" s="309" customFormat="1" ht="30" customHeight="1">
      <c r="A40" s="884" t="s">
        <v>481</v>
      </c>
      <c r="B40" s="885"/>
      <c r="C40" s="886" t="s">
        <v>482</v>
      </c>
      <c r="D40" s="887">
        <v>27271</v>
      </c>
      <c r="E40" s="887">
        <v>0</v>
      </c>
      <c r="F40" s="888">
        <f t="shared" si="0"/>
        <v>27271</v>
      </c>
      <c r="G40" s="306"/>
      <c r="H40" s="307"/>
      <c r="I40" s="307"/>
      <c r="J40" s="307"/>
      <c r="K40" s="307"/>
      <c r="L40" s="307"/>
      <c r="M40" s="307"/>
      <c r="N40" s="307"/>
      <c r="O40" s="307"/>
      <c r="P40" s="307"/>
      <c r="Q40" s="307"/>
      <c r="R40" s="308"/>
      <c r="S40" s="308"/>
      <c r="T40" s="308"/>
      <c r="U40" s="308"/>
    </row>
    <row r="41" spans="1:21" s="309" customFormat="1" ht="30" customHeight="1">
      <c r="A41" s="884" t="s">
        <v>483</v>
      </c>
      <c r="B41" s="885"/>
      <c r="C41" s="886" t="s">
        <v>484</v>
      </c>
      <c r="D41" s="887">
        <v>53568</v>
      </c>
      <c r="E41" s="887">
        <v>0</v>
      </c>
      <c r="F41" s="888">
        <f t="shared" si="0"/>
        <v>53568</v>
      </c>
      <c r="G41" s="306"/>
      <c r="H41" s="307"/>
      <c r="I41" s="307"/>
      <c r="J41" s="307"/>
      <c r="K41" s="307"/>
      <c r="L41" s="307"/>
      <c r="M41" s="307"/>
      <c r="N41" s="307"/>
      <c r="O41" s="307"/>
      <c r="P41" s="307"/>
      <c r="Q41" s="307"/>
      <c r="R41" s="308"/>
      <c r="S41" s="308"/>
      <c r="T41" s="308"/>
      <c r="U41" s="308"/>
    </row>
    <row r="42" spans="1:21" s="309" customFormat="1" ht="30" customHeight="1">
      <c r="A42" s="884" t="s">
        <v>485</v>
      </c>
      <c r="B42" s="885"/>
      <c r="C42" s="886" t="s">
        <v>486</v>
      </c>
      <c r="D42" s="887">
        <v>0</v>
      </c>
      <c r="E42" s="887">
        <v>0</v>
      </c>
      <c r="F42" s="888">
        <f t="shared" si="0"/>
        <v>0</v>
      </c>
      <c r="G42" s="306"/>
      <c r="H42" s="307"/>
      <c r="I42" s="307"/>
      <c r="J42" s="307"/>
      <c r="K42" s="307"/>
      <c r="L42" s="307"/>
      <c r="M42" s="307"/>
      <c r="N42" s="307"/>
      <c r="O42" s="307"/>
      <c r="P42" s="307"/>
      <c r="Q42" s="307"/>
      <c r="R42" s="308"/>
      <c r="S42" s="308"/>
      <c r="T42" s="308"/>
      <c r="U42" s="308"/>
    </row>
    <row r="43" spans="1:21" s="309" customFormat="1" ht="30" customHeight="1">
      <c r="A43" s="884" t="s">
        <v>487</v>
      </c>
      <c r="B43" s="885"/>
      <c r="C43" s="886" t="s">
        <v>488</v>
      </c>
      <c r="D43" s="887">
        <v>0</v>
      </c>
      <c r="E43" s="887">
        <v>0</v>
      </c>
      <c r="F43" s="888">
        <f t="shared" si="0"/>
        <v>0</v>
      </c>
      <c r="G43" s="306"/>
      <c r="H43" s="307"/>
      <c r="I43" s="307"/>
      <c r="J43" s="307"/>
      <c r="K43" s="307"/>
      <c r="L43" s="307"/>
      <c r="M43" s="307"/>
      <c r="N43" s="307"/>
      <c r="O43" s="307"/>
      <c r="P43" s="307"/>
      <c r="Q43" s="307"/>
      <c r="R43" s="308"/>
      <c r="S43" s="308"/>
      <c r="T43" s="308"/>
      <c r="U43" s="308"/>
    </row>
    <row r="44" spans="1:21" s="309" customFormat="1" ht="30" customHeight="1">
      <c r="A44" s="884" t="s">
        <v>489</v>
      </c>
      <c r="B44" s="885"/>
      <c r="C44" s="886" t="s">
        <v>490</v>
      </c>
      <c r="D44" s="887">
        <v>0</v>
      </c>
      <c r="E44" s="887">
        <v>0</v>
      </c>
      <c r="F44" s="888">
        <f t="shared" si="0"/>
        <v>0</v>
      </c>
      <c r="G44" s="306"/>
      <c r="H44" s="307"/>
      <c r="I44" s="307"/>
      <c r="J44" s="307"/>
      <c r="K44" s="307"/>
      <c r="L44" s="307"/>
      <c r="M44" s="307"/>
      <c r="N44" s="307"/>
      <c r="O44" s="307"/>
      <c r="P44" s="307"/>
      <c r="Q44" s="307"/>
      <c r="R44" s="308"/>
      <c r="S44" s="308"/>
      <c r="T44" s="308"/>
      <c r="U44" s="308"/>
    </row>
    <row r="45" spans="1:21" s="309" customFormat="1" ht="30" customHeight="1">
      <c r="A45" s="884" t="s">
        <v>491</v>
      </c>
      <c r="B45" s="885"/>
      <c r="C45" s="886" t="s">
        <v>492</v>
      </c>
      <c r="D45" s="887">
        <v>0</v>
      </c>
      <c r="E45" s="887">
        <v>0</v>
      </c>
      <c r="F45" s="888">
        <f t="shared" si="0"/>
        <v>0</v>
      </c>
      <c r="G45" s="306"/>
      <c r="H45" s="307"/>
      <c r="I45" s="307"/>
      <c r="J45" s="307"/>
      <c r="K45" s="307"/>
      <c r="L45" s="307"/>
      <c r="M45" s="307"/>
      <c r="N45" s="307"/>
      <c r="O45" s="307"/>
      <c r="P45" s="307"/>
      <c r="Q45" s="307"/>
      <c r="R45" s="308"/>
      <c r="S45" s="308"/>
      <c r="T45" s="308"/>
      <c r="U45" s="308"/>
    </row>
    <row r="46" spans="1:21" s="309" customFormat="1" ht="30" customHeight="1">
      <c r="A46" s="884" t="s">
        <v>493</v>
      </c>
      <c r="B46" s="885"/>
      <c r="C46" s="886" t="s">
        <v>494</v>
      </c>
      <c r="D46" s="887">
        <v>0</v>
      </c>
      <c r="E46" s="887">
        <v>0</v>
      </c>
      <c r="F46" s="888">
        <f t="shared" si="0"/>
        <v>0</v>
      </c>
      <c r="G46" s="306"/>
      <c r="H46" s="307"/>
      <c r="I46" s="307"/>
      <c r="J46" s="307"/>
      <c r="K46" s="307"/>
      <c r="L46" s="307"/>
      <c r="M46" s="307"/>
      <c r="N46" s="307"/>
      <c r="O46" s="307"/>
      <c r="P46" s="307"/>
      <c r="Q46" s="307"/>
      <c r="R46" s="308"/>
      <c r="S46" s="308"/>
      <c r="T46" s="308"/>
      <c r="U46" s="308"/>
    </row>
    <row r="47" spans="1:21" s="309" customFormat="1" ht="30" customHeight="1">
      <c r="A47" s="884" t="s">
        <v>495</v>
      </c>
      <c r="B47" s="885"/>
      <c r="C47" s="886" t="s">
        <v>496</v>
      </c>
      <c r="D47" s="887">
        <v>0</v>
      </c>
      <c r="E47" s="887">
        <v>0</v>
      </c>
      <c r="F47" s="888">
        <f t="shared" si="0"/>
        <v>0</v>
      </c>
      <c r="G47" s="306"/>
      <c r="H47" s="307"/>
      <c r="I47" s="307"/>
      <c r="J47" s="307"/>
      <c r="K47" s="307"/>
      <c r="L47" s="307"/>
      <c r="M47" s="307"/>
      <c r="N47" s="307"/>
      <c r="O47" s="307"/>
      <c r="P47" s="307"/>
      <c r="Q47" s="307"/>
      <c r="R47" s="308"/>
      <c r="S47" s="308"/>
      <c r="T47" s="308"/>
      <c r="U47" s="308"/>
    </row>
    <row r="48" spans="1:21" s="309" customFormat="1" ht="30" customHeight="1">
      <c r="A48" s="884" t="s">
        <v>497</v>
      </c>
      <c r="B48" s="885"/>
      <c r="C48" s="886" t="s">
        <v>498</v>
      </c>
      <c r="D48" s="887">
        <f>393280+91977</f>
        <v>485257</v>
      </c>
      <c r="E48" s="887">
        <v>0</v>
      </c>
      <c r="F48" s="888">
        <f t="shared" si="0"/>
        <v>485257</v>
      </c>
      <c r="G48" s="306"/>
      <c r="H48" s="307"/>
      <c r="I48" s="307"/>
      <c r="J48" s="307"/>
      <c r="K48" s="307"/>
      <c r="L48" s="307"/>
      <c r="M48" s="307"/>
      <c r="N48" s="307"/>
      <c r="O48" s="307"/>
      <c r="P48" s="307"/>
      <c r="Q48" s="307"/>
      <c r="R48" s="308"/>
      <c r="S48" s="308"/>
      <c r="T48" s="308"/>
      <c r="U48" s="308"/>
    </row>
    <row r="49" spans="1:21" s="309" customFormat="1" ht="30" customHeight="1">
      <c r="A49" s="884" t="s">
        <v>499</v>
      </c>
      <c r="B49" s="885"/>
      <c r="C49" s="886" t="s">
        <v>500</v>
      </c>
      <c r="D49" s="887">
        <v>570005</v>
      </c>
      <c r="E49" s="887">
        <v>0</v>
      </c>
      <c r="F49" s="888">
        <f t="shared" si="0"/>
        <v>570005</v>
      </c>
      <c r="G49" s="306"/>
      <c r="H49" s="307"/>
      <c r="I49" s="307"/>
      <c r="J49" s="307"/>
      <c r="K49" s="307"/>
      <c r="L49" s="307"/>
      <c r="M49" s="307"/>
      <c r="N49" s="307"/>
      <c r="O49" s="307"/>
      <c r="P49" s="307"/>
      <c r="Q49" s="307"/>
      <c r="R49" s="308"/>
      <c r="S49" s="308"/>
      <c r="T49" s="308"/>
      <c r="U49" s="308"/>
    </row>
    <row r="50" spans="1:21" s="309" customFormat="1" ht="30" customHeight="1">
      <c r="A50" s="884" t="s">
        <v>501</v>
      </c>
      <c r="B50" s="885"/>
      <c r="C50" s="886" t="s">
        <v>502</v>
      </c>
      <c r="D50" s="887">
        <v>0</v>
      </c>
      <c r="E50" s="887">
        <v>0</v>
      </c>
      <c r="F50" s="888">
        <f t="shared" si="0"/>
        <v>0</v>
      </c>
      <c r="G50" s="306"/>
      <c r="H50" s="307"/>
      <c r="I50" s="307"/>
      <c r="J50" s="307"/>
      <c r="K50" s="307"/>
      <c r="L50" s="307"/>
      <c r="M50" s="307"/>
      <c r="N50" s="307"/>
      <c r="O50" s="307"/>
      <c r="P50" s="307"/>
      <c r="Q50" s="307"/>
      <c r="R50" s="308"/>
      <c r="S50" s="308"/>
      <c r="T50" s="308"/>
      <c r="U50" s="308"/>
    </row>
    <row r="51" spans="1:21" s="309" customFormat="1" ht="30" customHeight="1">
      <c r="A51" s="884" t="s">
        <v>503</v>
      </c>
      <c r="B51" s="885"/>
      <c r="C51" s="886" t="s">
        <v>504</v>
      </c>
      <c r="D51" s="887">
        <v>0</v>
      </c>
      <c r="E51" s="887">
        <v>0</v>
      </c>
      <c r="F51" s="888">
        <f t="shared" si="0"/>
        <v>0</v>
      </c>
      <c r="G51" s="306"/>
      <c r="H51" s="307"/>
      <c r="I51" s="307"/>
      <c r="J51" s="307"/>
      <c r="K51" s="307"/>
      <c r="L51" s="307"/>
      <c r="M51" s="307"/>
      <c r="N51" s="307"/>
      <c r="O51" s="307"/>
      <c r="P51" s="307"/>
      <c r="Q51" s="307"/>
      <c r="R51" s="308"/>
      <c r="S51" s="308"/>
      <c r="T51" s="308"/>
      <c r="U51" s="308"/>
    </row>
    <row r="52" spans="1:21" s="309" customFormat="1" ht="30" customHeight="1">
      <c r="A52" s="884" t="s">
        <v>505</v>
      </c>
      <c r="B52" s="885"/>
      <c r="C52" s="886" t="s">
        <v>506</v>
      </c>
      <c r="D52" s="887">
        <v>0</v>
      </c>
      <c r="E52" s="887">
        <v>0</v>
      </c>
      <c r="F52" s="888">
        <f t="shared" si="0"/>
        <v>0</v>
      </c>
      <c r="G52" s="306"/>
      <c r="H52" s="307"/>
      <c r="I52" s="307"/>
      <c r="J52" s="307"/>
      <c r="K52" s="307"/>
      <c r="L52" s="307"/>
      <c r="M52" s="307"/>
      <c r="N52" s="307"/>
      <c r="O52" s="307"/>
      <c r="P52" s="307"/>
      <c r="Q52" s="307"/>
      <c r="R52" s="308"/>
      <c r="S52" s="308"/>
      <c r="T52" s="308"/>
      <c r="U52" s="308"/>
    </row>
    <row r="53" spans="1:21" s="309" customFormat="1" ht="30" customHeight="1">
      <c r="A53" s="884" t="s">
        <v>650</v>
      </c>
      <c r="B53" s="885"/>
      <c r="C53" s="886" t="s">
        <v>651</v>
      </c>
      <c r="D53" s="887">
        <v>0</v>
      </c>
      <c r="E53" s="887">
        <v>0</v>
      </c>
      <c r="F53" s="888">
        <f>+D53+E53</f>
        <v>0</v>
      </c>
      <c r="G53" s="306"/>
      <c r="H53" s="307"/>
      <c r="I53" s="307"/>
      <c r="J53" s="307"/>
      <c r="K53" s="307"/>
      <c r="L53" s="307"/>
      <c r="M53" s="307"/>
      <c r="N53" s="307"/>
      <c r="O53" s="307"/>
      <c r="P53" s="307"/>
      <c r="Q53" s="307"/>
      <c r="R53" s="308"/>
      <c r="S53" s="308"/>
      <c r="T53" s="308"/>
      <c r="U53" s="308"/>
    </row>
    <row r="54" spans="1:21" s="309" customFormat="1" ht="30" customHeight="1">
      <c r="A54" s="884" t="s">
        <v>508</v>
      </c>
      <c r="B54" s="885"/>
      <c r="C54" s="886" t="s">
        <v>509</v>
      </c>
      <c r="D54" s="887">
        <f>1176533+26776+33452</f>
        <v>1236761</v>
      </c>
      <c r="E54" s="887">
        <v>0</v>
      </c>
      <c r="F54" s="888">
        <f t="shared" si="0"/>
        <v>1236761</v>
      </c>
      <c r="G54" s="306"/>
      <c r="H54" s="307"/>
      <c r="I54" s="307"/>
      <c r="J54" s="307"/>
      <c r="K54" s="307"/>
      <c r="L54" s="307"/>
      <c r="M54" s="307"/>
      <c r="N54" s="307"/>
      <c r="O54" s="307"/>
      <c r="P54" s="307"/>
      <c r="Q54" s="307"/>
      <c r="R54" s="308"/>
      <c r="S54" s="308"/>
      <c r="T54" s="308"/>
      <c r="U54" s="308"/>
    </row>
    <row r="55" spans="1:21" s="309" customFormat="1" ht="30" customHeight="1">
      <c r="A55" s="884" t="s">
        <v>510</v>
      </c>
      <c r="B55" s="885"/>
      <c r="C55" s="886" t="s">
        <v>511</v>
      </c>
      <c r="D55" s="887">
        <v>19538</v>
      </c>
      <c r="E55" s="887">
        <v>0</v>
      </c>
      <c r="F55" s="888">
        <f t="shared" si="0"/>
        <v>19538</v>
      </c>
      <c r="G55" s="306"/>
      <c r="H55" s="307"/>
      <c r="I55" s="307"/>
      <c r="J55" s="307"/>
      <c r="K55" s="307"/>
      <c r="L55" s="307"/>
      <c r="M55" s="307"/>
      <c r="N55" s="307"/>
      <c r="O55" s="307"/>
      <c r="P55" s="307"/>
      <c r="Q55" s="307"/>
      <c r="R55" s="308"/>
      <c r="S55" s="308"/>
      <c r="T55" s="308"/>
      <c r="U55" s="308"/>
    </row>
    <row r="56" spans="1:21" s="309" customFormat="1" ht="30" customHeight="1" thickBot="1">
      <c r="A56" s="889" t="s">
        <v>512</v>
      </c>
      <c r="B56" s="890"/>
      <c r="C56" s="891" t="s">
        <v>513</v>
      </c>
      <c r="D56" s="887">
        <v>77780</v>
      </c>
      <c r="E56" s="892">
        <v>0</v>
      </c>
      <c r="F56" s="893">
        <f t="shared" si="0"/>
        <v>77780</v>
      </c>
      <c r="G56" s="306"/>
      <c r="H56" s="307"/>
      <c r="I56" s="307"/>
      <c r="J56" s="307"/>
      <c r="K56" s="307"/>
      <c r="L56" s="307"/>
      <c r="M56" s="307"/>
      <c r="N56" s="307"/>
      <c r="O56" s="307"/>
      <c r="P56" s="307"/>
      <c r="Q56" s="307"/>
      <c r="R56" s="308"/>
      <c r="S56" s="308"/>
      <c r="T56" s="308"/>
      <c r="U56" s="308"/>
    </row>
    <row r="57" spans="1:21" s="285" customFormat="1" ht="30" customHeight="1" thickBot="1">
      <c r="A57" s="341" t="s">
        <v>514</v>
      </c>
      <c r="B57" s="342"/>
      <c r="C57" s="696"/>
      <c r="D57" s="347">
        <f>SUM(D10:D56)</f>
        <v>10447952</v>
      </c>
      <c r="E57" s="347">
        <f>SUM(E10:E56)</f>
        <v>0</v>
      </c>
      <c r="F57" s="347">
        <f t="shared" si="0"/>
        <v>10447952</v>
      </c>
      <c r="G57" s="301"/>
      <c r="H57" s="302"/>
      <c r="I57" s="302"/>
      <c r="J57" s="302"/>
      <c r="K57" s="302"/>
      <c r="L57" s="302"/>
      <c r="M57" s="302"/>
      <c r="N57" s="302"/>
      <c r="O57" s="302"/>
      <c r="P57" s="302"/>
      <c r="Q57" s="302"/>
      <c r="R57" s="303"/>
      <c r="S57" s="303"/>
      <c r="T57" s="303"/>
      <c r="U57" s="303"/>
    </row>
    <row r="58" spans="1:21" s="309" customFormat="1" ht="30" customHeight="1">
      <c r="A58" s="311"/>
      <c r="B58" s="312"/>
      <c r="C58" s="697"/>
      <c r="D58" s="698"/>
      <c r="E58" s="698"/>
      <c r="F58" s="698"/>
      <c r="G58" s="306"/>
      <c r="H58" s="307"/>
      <c r="I58" s="307"/>
      <c r="J58" s="307"/>
      <c r="K58" s="307"/>
      <c r="L58" s="307"/>
      <c r="M58" s="307"/>
      <c r="N58" s="307"/>
      <c r="O58" s="307"/>
      <c r="P58" s="307"/>
      <c r="Q58" s="307"/>
      <c r="R58" s="308"/>
      <c r="S58" s="308"/>
      <c r="T58" s="308"/>
      <c r="U58" s="308"/>
    </row>
    <row r="59" spans="1:21" s="309" customFormat="1" ht="30" customHeight="1">
      <c r="A59" s="313"/>
      <c r="B59" s="313"/>
      <c r="C59" s="313"/>
      <c r="D59" s="314"/>
      <c r="E59" s="314"/>
      <c r="F59" s="314"/>
      <c r="G59" s="306"/>
      <c r="H59" s="307"/>
      <c r="I59" s="307"/>
      <c r="J59" s="307"/>
      <c r="K59" s="307"/>
      <c r="L59" s="307"/>
      <c r="M59" s="307"/>
      <c r="N59" s="307"/>
      <c r="O59" s="307"/>
      <c r="P59" s="307"/>
      <c r="Q59" s="307"/>
      <c r="R59" s="308"/>
      <c r="S59" s="308"/>
      <c r="T59" s="308"/>
      <c r="U59" s="308"/>
    </row>
    <row r="60" spans="1:21" s="309" customFormat="1" ht="30" customHeight="1" thickBot="1">
      <c r="A60" s="313"/>
      <c r="B60" s="313"/>
      <c r="C60" s="313"/>
      <c r="D60" s="314"/>
      <c r="E60" s="314"/>
      <c r="F60" s="314"/>
      <c r="G60" s="306"/>
      <c r="H60" s="307"/>
      <c r="I60" s="307"/>
      <c r="J60" s="307"/>
      <c r="K60" s="307"/>
      <c r="L60" s="307"/>
      <c r="M60" s="307"/>
      <c r="N60" s="307"/>
      <c r="O60" s="307"/>
      <c r="P60" s="307"/>
      <c r="Q60" s="307"/>
      <c r="R60" s="308"/>
      <c r="S60" s="308"/>
      <c r="T60" s="308"/>
      <c r="U60" s="308"/>
    </row>
    <row r="61" spans="1:21" s="309" customFormat="1" ht="30" customHeight="1" thickBot="1">
      <c r="A61" s="287"/>
      <c r="B61" s="288"/>
      <c r="C61" s="1029" t="str">
        <f>C7</f>
        <v>2021-22</v>
      </c>
      <c r="D61" s="1030"/>
      <c r="E61" s="1030"/>
      <c r="F61" s="1031"/>
      <c r="G61" s="306"/>
      <c r="H61" s="307"/>
      <c r="I61" s="307"/>
      <c r="J61" s="307"/>
      <c r="K61" s="307"/>
      <c r="L61" s="307"/>
      <c r="M61" s="307"/>
      <c r="N61" s="307"/>
      <c r="O61" s="307"/>
      <c r="P61" s="307"/>
      <c r="Q61" s="307"/>
      <c r="R61" s="308"/>
      <c r="S61" s="308"/>
      <c r="T61" s="308"/>
      <c r="U61" s="308"/>
    </row>
    <row r="62" spans="1:21" s="309" customFormat="1" ht="111.6" customHeight="1" thickBot="1">
      <c r="A62" s="1162" t="s">
        <v>646</v>
      </c>
      <c r="B62" s="1163"/>
      <c r="C62" s="293" t="s">
        <v>284</v>
      </c>
      <c r="D62" s="294" t="s">
        <v>647</v>
      </c>
      <c r="E62" s="694" t="s">
        <v>648</v>
      </c>
      <c r="F62" s="295" t="s">
        <v>649</v>
      </c>
      <c r="G62" s="306"/>
      <c r="H62" s="307"/>
      <c r="I62" s="307"/>
      <c r="J62" s="307"/>
      <c r="K62" s="307"/>
      <c r="L62" s="307"/>
      <c r="M62" s="307"/>
      <c r="N62" s="307"/>
      <c r="O62" s="307"/>
      <c r="P62" s="307"/>
      <c r="Q62" s="307"/>
      <c r="R62" s="308"/>
      <c r="S62" s="308"/>
      <c r="T62" s="308"/>
      <c r="U62" s="308"/>
    </row>
    <row r="63" spans="1:21" s="309" customFormat="1" ht="30" customHeight="1" thickBot="1">
      <c r="A63" s="1033" t="s">
        <v>169</v>
      </c>
      <c r="B63" s="1034"/>
      <c r="C63" s="315"/>
      <c r="D63" s="316"/>
      <c r="E63" s="316"/>
      <c r="F63" s="316"/>
      <c r="G63" s="306"/>
      <c r="H63" s="307"/>
      <c r="I63" s="307"/>
      <c r="J63" s="307"/>
      <c r="K63" s="307"/>
      <c r="L63" s="307"/>
      <c r="M63" s="307"/>
      <c r="N63" s="307"/>
      <c r="O63" s="307"/>
      <c r="P63" s="307"/>
      <c r="Q63" s="307"/>
      <c r="R63" s="308"/>
      <c r="S63" s="308"/>
      <c r="T63" s="308"/>
      <c r="U63" s="308"/>
    </row>
    <row r="64" spans="1:21" s="309" customFormat="1" ht="30" customHeight="1">
      <c r="A64" s="304" t="s">
        <v>516</v>
      </c>
      <c r="B64" s="317"/>
      <c r="C64" s="318" t="s">
        <v>517</v>
      </c>
      <c r="D64" s="576">
        <v>41988</v>
      </c>
      <c r="E64" s="576">
        <v>0</v>
      </c>
      <c r="F64" s="305">
        <f t="shared" si="0"/>
        <v>41988</v>
      </c>
      <c r="G64" s="306"/>
      <c r="H64" s="307"/>
      <c r="I64" s="307"/>
      <c r="J64" s="307"/>
      <c r="K64" s="307"/>
      <c r="L64" s="307"/>
      <c r="M64" s="307"/>
      <c r="N64" s="307"/>
      <c r="O64" s="307"/>
      <c r="P64" s="307"/>
      <c r="Q64" s="307"/>
      <c r="R64" s="308"/>
      <c r="S64" s="308"/>
      <c r="T64" s="308"/>
      <c r="U64" s="308"/>
    </row>
    <row r="65" spans="1:21" s="309" customFormat="1" ht="30" customHeight="1">
      <c r="A65" s="884" t="s">
        <v>518</v>
      </c>
      <c r="B65" s="885"/>
      <c r="C65" s="894" t="s">
        <v>519</v>
      </c>
      <c r="D65" s="887">
        <v>2518</v>
      </c>
      <c r="E65" s="887">
        <v>0</v>
      </c>
      <c r="F65" s="888">
        <f t="shared" si="0"/>
        <v>2518</v>
      </c>
      <c r="G65" s="306"/>
      <c r="H65" s="307"/>
      <c r="I65" s="307"/>
      <c r="J65" s="307"/>
      <c r="K65" s="307"/>
      <c r="L65" s="307"/>
      <c r="M65" s="307"/>
      <c r="N65" s="307"/>
      <c r="O65" s="307"/>
      <c r="P65" s="307"/>
      <c r="Q65" s="307"/>
      <c r="R65" s="308"/>
      <c r="S65" s="308"/>
      <c r="T65" s="308"/>
      <c r="U65" s="308"/>
    </row>
    <row r="66" spans="1:21" s="309" customFormat="1" ht="30" customHeight="1">
      <c r="A66" s="884" t="s">
        <v>520</v>
      </c>
      <c r="B66" s="885"/>
      <c r="C66" s="894" t="s">
        <v>521</v>
      </c>
      <c r="D66" s="887">
        <v>189623</v>
      </c>
      <c r="E66" s="887">
        <v>0</v>
      </c>
      <c r="F66" s="888">
        <f t="shared" si="0"/>
        <v>189623</v>
      </c>
      <c r="G66" s="306"/>
      <c r="H66" s="307"/>
      <c r="I66" s="307"/>
      <c r="J66" s="307"/>
      <c r="K66" s="307"/>
      <c r="L66" s="307"/>
      <c r="M66" s="307"/>
      <c r="N66" s="307"/>
      <c r="O66" s="307"/>
      <c r="P66" s="307"/>
      <c r="Q66" s="307"/>
      <c r="R66" s="308"/>
      <c r="S66" s="308"/>
      <c r="T66" s="308"/>
      <c r="U66" s="308"/>
    </row>
    <row r="67" spans="1:21" s="309" customFormat="1" ht="30" customHeight="1">
      <c r="A67" s="884" t="s">
        <v>522</v>
      </c>
      <c r="B67" s="885"/>
      <c r="C67" s="894" t="s">
        <v>523</v>
      </c>
      <c r="D67" s="887">
        <v>17120</v>
      </c>
      <c r="E67" s="887">
        <v>0</v>
      </c>
      <c r="F67" s="888">
        <f t="shared" si="0"/>
        <v>17120</v>
      </c>
      <c r="G67" s="306"/>
      <c r="H67" s="307"/>
      <c r="I67" s="307"/>
      <c r="J67" s="307"/>
      <c r="K67" s="307"/>
      <c r="L67" s="307"/>
      <c r="M67" s="307"/>
      <c r="N67" s="307"/>
      <c r="O67" s="307"/>
      <c r="P67" s="307"/>
      <c r="Q67" s="307"/>
      <c r="R67" s="308"/>
      <c r="S67" s="308"/>
      <c r="T67" s="308"/>
      <c r="U67" s="308"/>
    </row>
    <row r="68" spans="1:21" s="309" customFormat="1" ht="30" customHeight="1">
      <c r="A68" s="884" t="s">
        <v>652</v>
      </c>
      <c r="B68" s="885"/>
      <c r="C68" s="894" t="s">
        <v>525</v>
      </c>
      <c r="D68" s="887">
        <v>19629</v>
      </c>
      <c r="E68" s="887">
        <v>0</v>
      </c>
      <c r="F68" s="888">
        <f t="shared" si="0"/>
        <v>19629</v>
      </c>
      <c r="G68" s="306"/>
      <c r="H68" s="307"/>
      <c r="I68" s="307"/>
      <c r="J68" s="307"/>
      <c r="K68" s="307"/>
      <c r="L68" s="307"/>
      <c r="M68" s="307"/>
      <c r="N68" s="307"/>
      <c r="O68" s="307"/>
      <c r="P68" s="307"/>
      <c r="Q68" s="307"/>
      <c r="R68" s="308"/>
      <c r="S68" s="308"/>
      <c r="T68" s="308"/>
      <c r="U68" s="308"/>
    </row>
    <row r="69" spans="1:21" s="309" customFormat="1" ht="30" customHeight="1">
      <c r="A69" s="884" t="s">
        <v>526</v>
      </c>
      <c r="B69" s="885"/>
      <c r="C69" s="894" t="s">
        <v>527</v>
      </c>
      <c r="D69" s="887">
        <v>0</v>
      </c>
      <c r="E69" s="887">
        <v>0</v>
      </c>
      <c r="F69" s="888">
        <f t="shared" si="0"/>
        <v>0</v>
      </c>
      <c r="G69" s="306"/>
      <c r="H69" s="307"/>
      <c r="I69" s="307"/>
      <c r="J69" s="307"/>
      <c r="K69" s="307"/>
      <c r="L69" s="307"/>
      <c r="M69" s="307"/>
      <c r="N69" s="307"/>
      <c r="O69" s="307"/>
      <c r="P69" s="307"/>
      <c r="Q69" s="307"/>
      <c r="R69" s="308"/>
      <c r="S69" s="308"/>
      <c r="T69" s="308"/>
      <c r="U69" s="308"/>
    </row>
    <row r="70" spans="1:21" s="309" customFormat="1" ht="30" customHeight="1">
      <c r="A70" s="1202" t="s">
        <v>782</v>
      </c>
      <c r="B70" s="885"/>
      <c r="C70" s="1192">
        <v>63100</v>
      </c>
      <c r="D70" s="1193">
        <f>321323+201265+169596</f>
        <v>692184</v>
      </c>
      <c r="E70" s="1193">
        <v>0</v>
      </c>
      <c r="F70" s="1194">
        <v>0</v>
      </c>
      <c r="G70" s="306"/>
      <c r="H70" s="307"/>
      <c r="I70" s="307"/>
      <c r="J70" s="307"/>
      <c r="K70" s="307"/>
      <c r="L70" s="307"/>
      <c r="M70" s="307"/>
      <c r="N70" s="307"/>
      <c r="O70" s="307"/>
      <c r="P70" s="307"/>
      <c r="Q70" s="307"/>
      <c r="R70" s="308"/>
      <c r="S70" s="308"/>
      <c r="T70" s="308"/>
      <c r="U70" s="308"/>
    </row>
    <row r="71" spans="1:21" s="309" customFormat="1" ht="30" customHeight="1">
      <c r="A71" s="884" t="s">
        <v>528</v>
      </c>
      <c r="B71" s="885"/>
      <c r="C71" s="894" t="s">
        <v>529</v>
      </c>
      <c r="D71" s="887">
        <v>0</v>
      </c>
      <c r="E71" s="887">
        <v>0</v>
      </c>
      <c r="F71" s="888">
        <f t="shared" si="0"/>
        <v>0</v>
      </c>
      <c r="G71" s="306"/>
      <c r="H71" s="307"/>
      <c r="I71" s="307"/>
      <c r="J71" s="307"/>
      <c r="K71" s="307"/>
      <c r="L71" s="307"/>
      <c r="M71" s="307"/>
      <c r="N71" s="307"/>
      <c r="O71" s="307"/>
      <c r="P71" s="307"/>
      <c r="Q71" s="307"/>
      <c r="R71" s="308"/>
      <c r="S71" s="308"/>
      <c r="T71" s="308"/>
      <c r="U71" s="308"/>
    </row>
    <row r="72" spans="1:21" s="309" customFormat="1" ht="30" customHeight="1">
      <c r="A72" s="884" t="s">
        <v>530</v>
      </c>
      <c r="B72" s="885"/>
      <c r="C72" s="894" t="s">
        <v>531</v>
      </c>
      <c r="D72" s="887">
        <v>487</v>
      </c>
      <c r="E72" s="887">
        <v>0</v>
      </c>
      <c r="F72" s="888">
        <f t="shared" si="0"/>
        <v>487</v>
      </c>
      <c r="G72" s="306"/>
      <c r="H72" s="307"/>
      <c r="I72" s="307"/>
      <c r="J72" s="307"/>
      <c r="K72" s="307"/>
      <c r="L72" s="307"/>
      <c r="M72" s="307"/>
      <c r="N72" s="307"/>
      <c r="O72" s="307"/>
      <c r="P72" s="307"/>
      <c r="Q72" s="307"/>
      <c r="R72" s="308"/>
      <c r="S72" s="308"/>
      <c r="T72" s="308"/>
      <c r="U72" s="308"/>
    </row>
    <row r="73" spans="1:21" s="309" customFormat="1" ht="30" customHeight="1">
      <c r="A73" s="884" t="s">
        <v>532</v>
      </c>
      <c r="B73" s="885"/>
      <c r="C73" s="894" t="s">
        <v>533</v>
      </c>
      <c r="D73" s="887">
        <v>0</v>
      </c>
      <c r="E73" s="887">
        <v>0</v>
      </c>
      <c r="F73" s="888">
        <f t="shared" si="0"/>
        <v>0</v>
      </c>
      <c r="G73" s="306"/>
      <c r="H73" s="307"/>
      <c r="I73" s="307"/>
      <c r="J73" s="307"/>
      <c r="K73" s="307"/>
      <c r="L73" s="307"/>
      <c r="M73" s="307"/>
      <c r="N73" s="307"/>
      <c r="O73" s="307"/>
      <c r="P73" s="307"/>
      <c r="Q73" s="307"/>
      <c r="R73" s="308"/>
      <c r="S73" s="308"/>
      <c r="T73" s="308"/>
      <c r="U73" s="308"/>
    </row>
    <row r="74" spans="1:21" s="309" customFormat="1" ht="30" customHeight="1">
      <c r="A74" s="884" t="s">
        <v>534</v>
      </c>
      <c r="B74" s="885"/>
      <c r="C74" s="894" t="s">
        <v>535</v>
      </c>
      <c r="D74" s="887">
        <v>0</v>
      </c>
      <c r="E74" s="887">
        <v>0</v>
      </c>
      <c r="F74" s="888">
        <f t="shared" si="0"/>
        <v>0</v>
      </c>
      <c r="G74" s="306"/>
      <c r="H74" s="307"/>
      <c r="I74" s="307"/>
      <c r="J74" s="307"/>
      <c r="K74" s="307"/>
      <c r="L74" s="307"/>
      <c r="M74" s="307"/>
      <c r="N74" s="307"/>
      <c r="O74" s="307"/>
      <c r="P74" s="307"/>
      <c r="Q74" s="307"/>
      <c r="R74" s="308"/>
      <c r="S74" s="308"/>
      <c r="T74" s="308"/>
      <c r="U74" s="308"/>
    </row>
    <row r="75" spans="1:21" s="309" customFormat="1" ht="30" customHeight="1">
      <c r="A75" s="884" t="s">
        <v>536</v>
      </c>
      <c r="B75" s="885"/>
      <c r="C75" s="894" t="s">
        <v>537</v>
      </c>
      <c r="D75" s="887">
        <v>0</v>
      </c>
      <c r="E75" s="887">
        <v>0</v>
      </c>
      <c r="F75" s="888">
        <f t="shared" si="0"/>
        <v>0</v>
      </c>
      <c r="G75" s="306"/>
      <c r="H75" s="307"/>
      <c r="I75" s="307"/>
      <c r="J75" s="307"/>
      <c r="K75" s="307"/>
      <c r="L75" s="307"/>
      <c r="M75" s="307"/>
      <c r="N75" s="307"/>
      <c r="O75" s="307"/>
      <c r="P75" s="307"/>
      <c r="Q75" s="307"/>
      <c r="R75" s="308"/>
      <c r="S75" s="308"/>
      <c r="T75" s="308"/>
      <c r="U75" s="308"/>
    </row>
    <row r="76" spans="1:21" s="309" customFormat="1" ht="30" customHeight="1">
      <c r="A76" s="884" t="s">
        <v>538</v>
      </c>
      <c r="B76" s="885"/>
      <c r="C76" s="894" t="s">
        <v>539</v>
      </c>
      <c r="D76" s="887">
        <v>0</v>
      </c>
      <c r="E76" s="887">
        <v>0</v>
      </c>
      <c r="F76" s="888">
        <f t="shared" si="0"/>
        <v>0</v>
      </c>
      <c r="G76" s="306"/>
      <c r="H76" s="307"/>
      <c r="I76" s="307"/>
      <c r="J76" s="307"/>
      <c r="K76" s="307"/>
      <c r="L76" s="307"/>
      <c r="M76" s="307"/>
      <c r="N76" s="307"/>
      <c r="O76" s="307"/>
      <c r="P76" s="307"/>
      <c r="Q76" s="307"/>
      <c r="R76" s="308"/>
      <c r="S76" s="308"/>
      <c r="T76" s="308"/>
      <c r="U76" s="308"/>
    </row>
    <row r="77" spans="1:21" s="309" customFormat="1" ht="30" customHeight="1">
      <c r="A77" s="884" t="s">
        <v>540</v>
      </c>
      <c r="B77" s="885"/>
      <c r="C77" s="894" t="s">
        <v>541</v>
      </c>
      <c r="D77" s="887">
        <v>0</v>
      </c>
      <c r="E77" s="887">
        <v>0</v>
      </c>
      <c r="F77" s="888">
        <f t="shared" si="0"/>
        <v>0</v>
      </c>
      <c r="G77" s="306"/>
      <c r="H77" s="307"/>
      <c r="I77" s="307"/>
      <c r="J77" s="307"/>
      <c r="K77" s="307"/>
      <c r="L77" s="307"/>
      <c r="M77" s="307"/>
      <c r="N77" s="307"/>
      <c r="O77" s="307"/>
      <c r="P77" s="307"/>
      <c r="Q77" s="307"/>
      <c r="R77" s="308"/>
      <c r="S77" s="308"/>
      <c r="T77" s="308"/>
      <c r="U77" s="308"/>
    </row>
    <row r="78" spans="1:21" s="309" customFormat="1" ht="30" customHeight="1">
      <c r="A78" s="884" t="s">
        <v>542</v>
      </c>
      <c r="B78" s="885"/>
      <c r="C78" s="894" t="s">
        <v>543</v>
      </c>
      <c r="D78" s="887">
        <v>0</v>
      </c>
      <c r="E78" s="887">
        <v>0</v>
      </c>
      <c r="F78" s="888">
        <f t="shared" si="0"/>
        <v>0</v>
      </c>
      <c r="G78" s="306"/>
      <c r="H78" s="307"/>
      <c r="I78" s="307"/>
      <c r="J78" s="307"/>
      <c r="K78" s="307"/>
      <c r="L78" s="307"/>
      <c r="M78" s="307"/>
      <c r="N78" s="307"/>
      <c r="O78" s="307"/>
      <c r="P78" s="307"/>
      <c r="Q78" s="307"/>
      <c r="R78" s="308"/>
      <c r="S78" s="308"/>
      <c r="T78" s="308"/>
      <c r="U78" s="308"/>
    </row>
    <row r="79" spans="1:21" s="309" customFormat="1" ht="30" customHeight="1">
      <c r="A79" s="884" t="s">
        <v>544</v>
      </c>
      <c r="B79" s="885"/>
      <c r="C79" s="894">
        <v>64007</v>
      </c>
      <c r="D79" s="887">
        <v>0</v>
      </c>
      <c r="E79" s="887">
        <v>0</v>
      </c>
      <c r="F79" s="888">
        <f t="shared" si="0"/>
        <v>0</v>
      </c>
      <c r="G79" s="306"/>
      <c r="H79" s="307"/>
      <c r="I79" s="307"/>
      <c r="J79" s="307"/>
      <c r="K79" s="307"/>
      <c r="L79" s="307"/>
      <c r="M79" s="307"/>
      <c r="N79" s="307"/>
      <c r="O79" s="307"/>
      <c r="P79" s="307"/>
      <c r="Q79" s="307"/>
      <c r="R79" s="308"/>
      <c r="S79" s="308"/>
      <c r="T79" s="308"/>
      <c r="U79" s="308"/>
    </row>
    <row r="80" spans="1:21" s="309" customFormat="1" ht="30" customHeight="1">
      <c r="A80" s="884" t="s">
        <v>545</v>
      </c>
      <c r="B80" s="885"/>
      <c r="C80" s="894" t="s">
        <v>546</v>
      </c>
      <c r="D80" s="887">
        <v>54992</v>
      </c>
      <c r="E80" s="887">
        <v>0</v>
      </c>
      <c r="F80" s="888">
        <f t="shared" si="0"/>
        <v>54992</v>
      </c>
      <c r="G80" s="306"/>
      <c r="H80" s="307"/>
      <c r="I80" s="307"/>
      <c r="J80" s="307"/>
      <c r="K80" s="307"/>
      <c r="L80" s="307"/>
      <c r="M80" s="307"/>
      <c r="N80" s="307"/>
      <c r="O80" s="307"/>
      <c r="P80" s="307"/>
      <c r="Q80" s="307"/>
      <c r="R80" s="308"/>
      <c r="S80" s="308"/>
      <c r="T80" s="308"/>
      <c r="U80" s="308"/>
    </row>
    <row r="81" spans="1:21" s="309" customFormat="1" ht="30" customHeight="1">
      <c r="A81" s="884" t="s">
        <v>737</v>
      </c>
      <c r="B81" s="885"/>
      <c r="C81" s="894" t="s">
        <v>547</v>
      </c>
      <c r="D81" s="887">
        <v>0</v>
      </c>
      <c r="E81" s="887">
        <v>0</v>
      </c>
      <c r="F81" s="888">
        <f t="shared" si="0"/>
        <v>0</v>
      </c>
      <c r="G81" s="306"/>
      <c r="H81" s="307"/>
      <c r="I81" s="307"/>
      <c r="J81" s="307"/>
      <c r="K81" s="307"/>
      <c r="L81" s="307"/>
      <c r="M81" s="307"/>
      <c r="N81" s="307"/>
      <c r="O81" s="307"/>
      <c r="P81" s="307"/>
      <c r="Q81" s="307"/>
      <c r="R81" s="308"/>
      <c r="S81" s="308"/>
      <c r="T81" s="308"/>
      <c r="U81" s="308"/>
    </row>
    <row r="82" spans="1:21" s="309" customFormat="1" ht="30" customHeight="1">
      <c r="A82" s="884" t="s">
        <v>548</v>
      </c>
      <c r="B82" s="885"/>
      <c r="C82" s="894" t="s">
        <v>549</v>
      </c>
      <c r="D82" s="887">
        <v>0</v>
      </c>
      <c r="E82" s="887">
        <v>0</v>
      </c>
      <c r="F82" s="888">
        <f t="shared" ref="F82:F118" si="1">+D82+E82</f>
        <v>0</v>
      </c>
      <c r="G82" s="306"/>
      <c r="H82" s="307"/>
      <c r="I82" s="307"/>
      <c r="J82" s="307"/>
      <c r="K82" s="307"/>
      <c r="L82" s="307"/>
      <c r="M82" s="307"/>
      <c r="N82" s="307"/>
      <c r="O82" s="307"/>
      <c r="P82" s="307"/>
      <c r="Q82" s="307"/>
      <c r="R82" s="308"/>
      <c r="S82" s="308"/>
      <c r="T82" s="308"/>
      <c r="U82" s="308"/>
    </row>
    <row r="83" spans="1:21" s="309" customFormat="1" ht="30" customHeight="1">
      <c r="A83" s="884" t="s">
        <v>550</v>
      </c>
      <c r="B83" s="885"/>
      <c r="C83" s="894" t="s">
        <v>551</v>
      </c>
      <c r="D83" s="887">
        <v>38810</v>
      </c>
      <c r="E83" s="887">
        <v>0</v>
      </c>
      <c r="F83" s="888">
        <f t="shared" si="1"/>
        <v>38810</v>
      </c>
      <c r="G83" s="306"/>
      <c r="H83" s="307"/>
      <c r="I83" s="307"/>
      <c r="J83" s="307"/>
      <c r="K83" s="307"/>
      <c r="L83" s="307"/>
      <c r="M83" s="307"/>
      <c r="N83" s="307"/>
      <c r="O83" s="307"/>
      <c r="P83" s="307"/>
      <c r="Q83" s="307"/>
      <c r="R83" s="308"/>
      <c r="S83" s="308"/>
      <c r="T83" s="308"/>
      <c r="U83" s="308"/>
    </row>
    <row r="84" spans="1:21" s="309" customFormat="1" ht="30" customHeight="1">
      <c r="A84" s="884" t="s">
        <v>552</v>
      </c>
      <c r="B84" s="885"/>
      <c r="C84" s="894" t="s">
        <v>553</v>
      </c>
      <c r="D84" s="887">
        <v>73613</v>
      </c>
      <c r="E84" s="887">
        <v>0</v>
      </c>
      <c r="F84" s="888">
        <f t="shared" si="1"/>
        <v>73613</v>
      </c>
      <c r="G84" s="306"/>
      <c r="H84" s="307"/>
      <c r="I84" s="307"/>
      <c r="J84" s="307"/>
      <c r="K84" s="307"/>
      <c r="L84" s="307"/>
      <c r="M84" s="307"/>
      <c r="N84" s="307"/>
      <c r="O84" s="307"/>
      <c r="P84" s="307"/>
      <c r="Q84" s="307"/>
      <c r="R84" s="308"/>
      <c r="S84" s="308"/>
      <c r="T84" s="308"/>
      <c r="U84" s="308"/>
    </row>
    <row r="85" spans="1:21" s="309" customFormat="1" ht="30" customHeight="1">
      <c r="A85" s="884" t="s">
        <v>554</v>
      </c>
      <c r="B85" s="885"/>
      <c r="C85" s="894" t="s">
        <v>555</v>
      </c>
      <c r="D85" s="887">
        <f>410346+839397-37533-1</f>
        <v>1212209</v>
      </c>
      <c r="E85" s="887">
        <v>0</v>
      </c>
      <c r="F85" s="888">
        <f t="shared" si="1"/>
        <v>1212209</v>
      </c>
      <c r="G85" s="306"/>
      <c r="H85" s="307"/>
      <c r="I85" s="307"/>
      <c r="J85" s="307"/>
      <c r="K85" s="307"/>
      <c r="L85" s="307"/>
      <c r="M85" s="307"/>
      <c r="N85" s="307"/>
      <c r="O85" s="307"/>
      <c r="P85" s="307"/>
      <c r="Q85" s="307"/>
      <c r="R85" s="308"/>
      <c r="S85" s="308"/>
      <c r="T85" s="308"/>
      <c r="U85" s="308"/>
    </row>
    <row r="86" spans="1:21" s="309" customFormat="1" ht="30" customHeight="1">
      <c r="A86" s="884" t="s">
        <v>556</v>
      </c>
      <c r="B86" s="885"/>
      <c r="C86" s="894" t="s">
        <v>557</v>
      </c>
      <c r="D86" s="887">
        <v>0</v>
      </c>
      <c r="E86" s="887">
        <v>0</v>
      </c>
      <c r="F86" s="888">
        <f t="shared" si="1"/>
        <v>0</v>
      </c>
      <c r="G86" s="306"/>
      <c r="H86" s="306"/>
      <c r="I86" s="306"/>
      <c r="J86" s="306"/>
      <c r="K86" s="306"/>
      <c r="L86" s="306"/>
      <c r="M86" s="306"/>
      <c r="N86" s="306"/>
      <c r="O86" s="306"/>
      <c r="P86" s="306"/>
      <c r="Q86" s="306"/>
    </row>
    <row r="87" spans="1:21" s="309" customFormat="1" ht="30" customHeight="1">
      <c r="A87" s="884" t="s">
        <v>558</v>
      </c>
      <c r="B87" s="885"/>
      <c r="C87" s="894" t="s">
        <v>559</v>
      </c>
      <c r="D87" s="887">
        <v>3291</v>
      </c>
      <c r="E87" s="887">
        <v>0</v>
      </c>
      <c r="F87" s="888">
        <f t="shared" si="1"/>
        <v>3291</v>
      </c>
      <c r="G87" s="306"/>
      <c r="H87" s="306"/>
      <c r="I87" s="306"/>
      <c r="J87" s="306"/>
      <c r="K87" s="306"/>
      <c r="L87" s="306"/>
      <c r="M87" s="306"/>
      <c r="N87" s="306"/>
      <c r="O87" s="306"/>
      <c r="P87" s="306"/>
      <c r="Q87" s="306"/>
    </row>
    <row r="88" spans="1:21" s="309" customFormat="1" ht="30" customHeight="1">
      <c r="A88" s="884" t="s">
        <v>560</v>
      </c>
      <c r="B88" s="885"/>
      <c r="C88" s="894" t="s">
        <v>561</v>
      </c>
      <c r="D88" s="887">
        <v>147300</v>
      </c>
      <c r="E88" s="887">
        <v>0</v>
      </c>
      <c r="F88" s="888">
        <f t="shared" ref="F88:F93" si="2">+D88+E88</f>
        <v>147300</v>
      </c>
      <c r="G88" s="306"/>
      <c r="H88" s="306"/>
      <c r="I88" s="306"/>
      <c r="J88" s="306"/>
      <c r="K88" s="306"/>
      <c r="L88" s="306"/>
      <c r="M88" s="306"/>
      <c r="N88" s="306"/>
      <c r="O88" s="306"/>
      <c r="P88" s="306"/>
      <c r="Q88" s="306"/>
    </row>
    <row r="89" spans="1:21" s="309" customFormat="1" ht="30" customHeight="1">
      <c r="A89" s="884" t="s">
        <v>562</v>
      </c>
      <c r="B89" s="885"/>
      <c r="C89" s="894" t="s">
        <v>563</v>
      </c>
      <c r="D89" s="887">
        <v>0</v>
      </c>
      <c r="E89" s="887">
        <v>0</v>
      </c>
      <c r="F89" s="888">
        <f t="shared" si="2"/>
        <v>0</v>
      </c>
      <c r="G89" s="306"/>
      <c r="H89" s="306"/>
      <c r="I89" s="306"/>
      <c r="J89" s="306"/>
      <c r="K89" s="306"/>
      <c r="L89" s="306"/>
      <c r="M89" s="306"/>
      <c r="N89" s="306"/>
      <c r="O89" s="306"/>
      <c r="P89" s="306"/>
      <c r="Q89" s="306"/>
    </row>
    <row r="90" spans="1:21" s="309" customFormat="1" ht="30" customHeight="1">
      <c r="A90" s="884" t="s">
        <v>564</v>
      </c>
      <c r="B90" s="885"/>
      <c r="C90" s="894" t="s">
        <v>565</v>
      </c>
      <c r="D90" s="887">
        <v>0</v>
      </c>
      <c r="E90" s="887">
        <v>0</v>
      </c>
      <c r="F90" s="888">
        <f t="shared" si="2"/>
        <v>0</v>
      </c>
      <c r="G90" s="306"/>
      <c r="H90" s="306"/>
      <c r="I90" s="306"/>
      <c r="J90" s="306"/>
      <c r="K90" s="306"/>
      <c r="L90" s="306"/>
      <c r="M90" s="306"/>
      <c r="N90" s="306"/>
      <c r="O90" s="306"/>
      <c r="P90" s="306"/>
      <c r="Q90" s="306"/>
    </row>
    <row r="91" spans="1:21" s="309" customFormat="1" ht="30" customHeight="1">
      <c r="A91" s="884" t="s">
        <v>566</v>
      </c>
      <c r="B91" s="885"/>
      <c r="C91" s="894" t="s">
        <v>567</v>
      </c>
      <c r="D91" s="887">
        <v>0</v>
      </c>
      <c r="E91" s="887">
        <v>0</v>
      </c>
      <c r="F91" s="888">
        <f t="shared" si="2"/>
        <v>0</v>
      </c>
      <c r="G91" s="306"/>
      <c r="H91" s="306"/>
      <c r="I91" s="306"/>
      <c r="J91" s="306"/>
      <c r="K91" s="306"/>
      <c r="L91" s="306"/>
      <c r="M91" s="306"/>
      <c r="N91" s="306"/>
      <c r="O91" s="306"/>
      <c r="P91" s="306"/>
      <c r="Q91" s="306"/>
    </row>
    <row r="92" spans="1:21" s="309" customFormat="1" ht="30" customHeight="1">
      <c r="A92" s="884" t="s">
        <v>568</v>
      </c>
      <c r="B92" s="885"/>
      <c r="C92" s="894" t="s">
        <v>569</v>
      </c>
      <c r="D92" s="887">
        <v>0</v>
      </c>
      <c r="E92" s="887">
        <v>0</v>
      </c>
      <c r="F92" s="888">
        <f t="shared" si="2"/>
        <v>0</v>
      </c>
      <c r="G92" s="306"/>
      <c r="H92" s="306"/>
      <c r="I92" s="306"/>
      <c r="J92" s="306"/>
      <c r="K92" s="306"/>
      <c r="L92" s="306"/>
      <c r="M92" s="306"/>
      <c r="N92" s="306"/>
      <c r="O92" s="306"/>
      <c r="P92" s="306"/>
      <c r="Q92" s="306"/>
    </row>
    <row r="93" spans="1:21" s="309" customFormat="1" ht="30" customHeight="1">
      <c r="A93" s="884" t="s">
        <v>570</v>
      </c>
      <c r="B93" s="885"/>
      <c r="C93" s="894" t="s">
        <v>571</v>
      </c>
      <c r="D93" s="887">
        <v>0</v>
      </c>
      <c r="E93" s="887">
        <v>0</v>
      </c>
      <c r="F93" s="888">
        <f t="shared" si="2"/>
        <v>0</v>
      </c>
      <c r="G93" s="306"/>
      <c r="H93" s="306"/>
      <c r="I93" s="306"/>
      <c r="J93" s="306"/>
      <c r="K93" s="306"/>
      <c r="L93" s="306"/>
      <c r="M93" s="306"/>
      <c r="N93" s="306"/>
      <c r="O93" s="306"/>
      <c r="P93" s="306"/>
      <c r="Q93" s="306"/>
    </row>
    <row r="94" spans="1:21" s="309" customFormat="1" ht="30" customHeight="1">
      <c r="A94" s="884" t="s">
        <v>572</v>
      </c>
      <c r="B94" s="885"/>
      <c r="C94" s="894" t="s">
        <v>573</v>
      </c>
      <c r="D94" s="887">
        <v>0</v>
      </c>
      <c r="E94" s="887">
        <v>0</v>
      </c>
      <c r="F94" s="888">
        <f t="shared" si="1"/>
        <v>0</v>
      </c>
      <c r="G94" s="306"/>
      <c r="H94" s="306"/>
      <c r="I94" s="306"/>
      <c r="J94" s="306"/>
      <c r="K94" s="306"/>
      <c r="L94" s="306"/>
      <c r="M94" s="306"/>
      <c r="N94" s="306"/>
      <c r="O94" s="306"/>
      <c r="P94" s="306"/>
      <c r="Q94" s="306"/>
    </row>
    <row r="95" spans="1:21" s="309" customFormat="1" ht="30" customHeight="1">
      <c r="A95" s="884" t="s">
        <v>653</v>
      </c>
      <c r="B95" s="885"/>
      <c r="C95" s="894" t="s">
        <v>575</v>
      </c>
      <c r="D95" s="887">
        <v>0</v>
      </c>
      <c r="E95" s="887">
        <v>0</v>
      </c>
      <c r="F95" s="888">
        <f t="shared" si="1"/>
        <v>0</v>
      </c>
      <c r="G95" s="306"/>
      <c r="H95" s="306"/>
      <c r="I95" s="306"/>
      <c r="J95" s="306"/>
      <c r="K95" s="306"/>
      <c r="L95" s="306"/>
      <c r="M95" s="306"/>
      <c r="N95" s="306"/>
      <c r="O95" s="306"/>
      <c r="P95" s="306"/>
      <c r="Q95" s="306"/>
    </row>
    <row r="96" spans="1:21" s="309" customFormat="1" ht="30" customHeight="1">
      <c r="A96" s="884" t="s">
        <v>653</v>
      </c>
      <c r="B96" s="885"/>
      <c r="C96" s="894" t="s">
        <v>577</v>
      </c>
      <c r="D96" s="887">
        <v>0</v>
      </c>
      <c r="E96" s="887">
        <v>0</v>
      </c>
      <c r="F96" s="888">
        <f t="shared" si="1"/>
        <v>0</v>
      </c>
      <c r="G96" s="306"/>
      <c r="H96" s="306"/>
      <c r="I96" s="306"/>
      <c r="J96" s="306"/>
      <c r="K96" s="306"/>
      <c r="L96" s="306"/>
      <c r="M96" s="306"/>
      <c r="N96" s="306"/>
      <c r="O96" s="306"/>
      <c r="P96" s="306"/>
      <c r="Q96" s="306"/>
    </row>
    <row r="97" spans="1:17" s="309" customFormat="1" ht="30" customHeight="1">
      <c r="A97" s="884" t="s">
        <v>653</v>
      </c>
      <c r="B97" s="885"/>
      <c r="C97" s="894" t="s">
        <v>579</v>
      </c>
      <c r="D97" s="887">
        <v>0</v>
      </c>
      <c r="E97" s="887">
        <v>0</v>
      </c>
      <c r="F97" s="888">
        <f t="shared" si="1"/>
        <v>0</v>
      </c>
      <c r="G97" s="306"/>
      <c r="H97" s="306"/>
      <c r="I97" s="306"/>
      <c r="J97" s="306"/>
      <c r="K97" s="306"/>
      <c r="L97" s="306"/>
      <c r="M97" s="306"/>
      <c r="N97" s="306"/>
      <c r="O97" s="306"/>
      <c r="P97" s="306"/>
      <c r="Q97" s="306"/>
    </row>
    <row r="98" spans="1:17" s="309" customFormat="1" ht="30" customHeight="1">
      <c r="A98" s="884" t="s">
        <v>654</v>
      </c>
      <c r="B98" s="885"/>
      <c r="C98" s="894" t="s">
        <v>581</v>
      </c>
      <c r="D98" s="887">
        <v>0</v>
      </c>
      <c r="E98" s="887">
        <v>0</v>
      </c>
      <c r="F98" s="888">
        <f t="shared" si="1"/>
        <v>0</v>
      </c>
      <c r="G98" s="306"/>
      <c r="H98" s="306"/>
      <c r="I98" s="306"/>
      <c r="J98" s="306"/>
      <c r="K98" s="306"/>
      <c r="L98" s="306"/>
      <c r="M98" s="306"/>
      <c r="N98" s="306"/>
      <c r="O98" s="306"/>
      <c r="P98" s="306"/>
      <c r="Q98" s="306"/>
    </row>
    <row r="99" spans="1:17" s="309" customFormat="1" ht="30" customHeight="1">
      <c r="A99" s="884" t="s">
        <v>654</v>
      </c>
      <c r="B99" s="885"/>
      <c r="C99" s="894">
        <v>69270</v>
      </c>
      <c r="D99" s="887">
        <v>0</v>
      </c>
      <c r="E99" s="887">
        <v>0</v>
      </c>
      <c r="F99" s="888">
        <f t="shared" si="1"/>
        <v>0</v>
      </c>
      <c r="G99" s="306"/>
      <c r="H99" s="306"/>
      <c r="I99" s="306"/>
      <c r="J99" s="306"/>
      <c r="K99" s="306"/>
      <c r="L99" s="306"/>
      <c r="M99" s="306"/>
      <c r="N99" s="306"/>
      <c r="O99" s="306"/>
      <c r="P99" s="306"/>
      <c r="Q99" s="306"/>
    </row>
    <row r="100" spans="1:17" s="309" customFormat="1" ht="30" customHeight="1">
      <c r="A100" s="884" t="s">
        <v>583</v>
      </c>
      <c r="B100" s="885"/>
      <c r="C100" s="894" t="s">
        <v>584</v>
      </c>
      <c r="D100" s="887">
        <v>0</v>
      </c>
      <c r="E100" s="887">
        <v>0</v>
      </c>
      <c r="F100" s="888">
        <f t="shared" si="1"/>
        <v>0</v>
      </c>
      <c r="G100" s="306"/>
      <c r="H100" s="306"/>
      <c r="I100" s="306"/>
      <c r="J100" s="306"/>
      <c r="K100" s="306"/>
      <c r="L100" s="306"/>
      <c r="M100" s="306"/>
      <c r="N100" s="306"/>
      <c r="O100" s="306"/>
      <c r="P100" s="306"/>
      <c r="Q100" s="306"/>
    </row>
    <row r="101" spans="1:17" s="309" customFormat="1" ht="30" customHeight="1">
      <c r="A101" s="884" t="s">
        <v>418</v>
      </c>
      <c r="B101" s="885"/>
      <c r="C101" s="894" t="s">
        <v>586</v>
      </c>
      <c r="D101" s="887">
        <v>0</v>
      </c>
      <c r="E101" s="887">
        <v>0</v>
      </c>
      <c r="F101" s="888">
        <f t="shared" si="1"/>
        <v>0</v>
      </c>
      <c r="G101" s="306"/>
      <c r="H101" s="306"/>
      <c r="I101" s="306"/>
      <c r="J101" s="306"/>
      <c r="K101" s="306"/>
      <c r="L101" s="306"/>
      <c r="M101" s="306"/>
      <c r="N101" s="306"/>
      <c r="O101" s="306"/>
      <c r="P101" s="306"/>
      <c r="Q101" s="306"/>
    </row>
    <row r="102" spans="1:17" s="309" customFormat="1" ht="30" customHeight="1" thickBot="1">
      <c r="A102" s="889" t="s">
        <v>587</v>
      </c>
      <c r="B102" s="890"/>
      <c r="C102" s="895" t="s">
        <v>588</v>
      </c>
      <c r="D102" s="887">
        <v>0</v>
      </c>
      <c r="E102" s="887">
        <v>0</v>
      </c>
      <c r="F102" s="893">
        <f t="shared" si="1"/>
        <v>0</v>
      </c>
      <c r="G102" s="306"/>
      <c r="H102" s="306"/>
      <c r="I102" s="306"/>
      <c r="J102" s="306"/>
      <c r="K102" s="306"/>
      <c r="L102" s="306"/>
      <c r="M102" s="306"/>
      <c r="N102" s="306"/>
      <c r="O102" s="306"/>
      <c r="P102" s="306"/>
      <c r="Q102" s="306"/>
    </row>
    <row r="103" spans="1:17" s="309" customFormat="1" ht="30" customHeight="1" thickBot="1">
      <c r="A103" s="1027" t="s">
        <v>655</v>
      </c>
      <c r="B103" s="1032"/>
      <c r="C103" s="344"/>
      <c r="D103" s="343">
        <f>SUM(D64:D102)</f>
        <v>2493764</v>
      </c>
      <c r="E103" s="343">
        <f>SUM(E64:E102)</f>
        <v>0</v>
      </c>
      <c r="F103" s="343">
        <f t="shared" si="1"/>
        <v>2493764</v>
      </c>
      <c r="G103" s="306"/>
      <c r="H103" s="306"/>
      <c r="I103" s="306"/>
      <c r="J103" s="306"/>
      <c r="K103" s="306"/>
      <c r="L103" s="306"/>
      <c r="M103" s="306"/>
      <c r="N103" s="306"/>
      <c r="O103" s="306"/>
      <c r="P103" s="306"/>
      <c r="Q103" s="306"/>
    </row>
    <row r="104" spans="1:17" s="309" customFormat="1" ht="30" customHeight="1">
      <c r="A104" s="319"/>
      <c r="B104" s="319"/>
      <c r="C104" s="319"/>
      <c r="D104" s="320"/>
      <c r="E104" s="320"/>
      <c r="F104" s="320"/>
      <c r="G104" s="306"/>
      <c r="H104" s="306"/>
      <c r="I104" s="306"/>
      <c r="J104" s="306"/>
      <c r="K104" s="306"/>
      <c r="L104" s="306"/>
      <c r="M104" s="306"/>
      <c r="N104" s="306"/>
      <c r="O104" s="306"/>
      <c r="P104" s="306"/>
      <c r="Q104" s="306"/>
    </row>
    <row r="105" spans="1:17" s="309" customFormat="1" ht="30" customHeight="1" thickBot="1">
      <c r="A105" s="319"/>
      <c r="B105" s="319"/>
      <c r="C105" s="319"/>
      <c r="D105" s="320"/>
      <c r="E105" s="320"/>
      <c r="F105" s="320"/>
      <c r="G105" s="306"/>
      <c r="H105" s="306"/>
      <c r="I105" s="306"/>
      <c r="J105" s="306"/>
      <c r="K105" s="306"/>
      <c r="L105" s="306"/>
      <c r="M105" s="306"/>
      <c r="N105" s="306"/>
      <c r="O105" s="306"/>
      <c r="P105" s="306"/>
      <c r="Q105" s="306"/>
    </row>
    <row r="106" spans="1:17" s="309" customFormat="1" ht="30" customHeight="1" thickBot="1">
      <c r="A106" s="321"/>
      <c r="B106" s="321"/>
      <c r="C106" s="1029" t="str">
        <f>C7</f>
        <v>2021-22</v>
      </c>
      <c r="D106" s="1030"/>
      <c r="E106" s="1030"/>
      <c r="F106" s="1031"/>
      <c r="G106" s="306"/>
      <c r="H106" s="306"/>
      <c r="I106" s="306"/>
      <c r="J106" s="306"/>
      <c r="K106" s="306"/>
      <c r="L106" s="306"/>
      <c r="M106" s="306"/>
      <c r="N106" s="306"/>
      <c r="O106" s="306"/>
      <c r="P106" s="306"/>
      <c r="Q106" s="306"/>
    </row>
    <row r="107" spans="1:17" s="309" customFormat="1" ht="111.6" customHeight="1" thickBot="1">
      <c r="A107" s="1164" t="s">
        <v>170</v>
      </c>
      <c r="B107" s="1165"/>
      <c r="C107" s="293" t="s">
        <v>284</v>
      </c>
      <c r="D107" s="294" t="s">
        <v>647</v>
      </c>
      <c r="E107" s="694" t="s">
        <v>648</v>
      </c>
      <c r="F107" s="295" t="s">
        <v>649</v>
      </c>
      <c r="G107" s="306"/>
      <c r="H107" s="306"/>
      <c r="I107" s="306"/>
      <c r="J107" s="306"/>
      <c r="K107" s="306"/>
      <c r="L107" s="306"/>
      <c r="M107" s="306"/>
      <c r="N107" s="306"/>
      <c r="O107" s="306"/>
      <c r="P107" s="306"/>
      <c r="Q107" s="306"/>
    </row>
    <row r="108" spans="1:17" s="309" customFormat="1" ht="30" customHeight="1">
      <c r="A108" s="304" t="s">
        <v>590</v>
      </c>
      <c r="B108" s="317"/>
      <c r="C108" s="318" t="s">
        <v>591</v>
      </c>
      <c r="D108" s="576">
        <v>24010</v>
      </c>
      <c r="E108" s="576">
        <v>0</v>
      </c>
      <c r="F108" s="305">
        <f t="shared" si="1"/>
        <v>24010</v>
      </c>
      <c r="G108" s="306"/>
      <c r="H108" s="306"/>
      <c r="I108" s="306"/>
      <c r="J108" s="306"/>
      <c r="K108" s="306"/>
      <c r="L108" s="306"/>
      <c r="M108" s="306"/>
      <c r="N108" s="306"/>
      <c r="O108" s="306"/>
      <c r="P108" s="306"/>
      <c r="Q108" s="306"/>
    </row>
    <row r="109" spans="1:17" s="309" customFormat="1" ht="30" customHeight="1">
      <c r="A109" s="884" t="s">
        <v>656</v>
      </c>
      <c r="B109" s="885"/>
      <c r="C109" s="894" t="s">
        <v>593</v>
      </c>
      <c r="D109" s="887">
        <v>2129</v>
      </c>
      <c r="E109" s="887">
        <v>0</v>
      </c>
      <c r="F109" s="888">
        <f t="shared" si="1"/>
        <v>2129</v>
      </c>
      <c r="G109" s="306"/>
      <c r="H109" s="306"/>
      <c r="I109" s="306"/>
      <c r="J109" s="306"/>
      <c r="K109" s="306"/>
      <c r="L109" s="306"/>
      <c r="M109" s="306"/>
      <c r="N109" s="306"/>
      <c r="O109" s="306"/>
      <c r="P109" s="306"/>
      <c r="Q109" s="306"/>
    </row>
    <row r="110" spans="1:17" s="309" customFormat="1" ht="30" customHeight="1">
      <c r="A110" s="884" t="s">
        <v>594</v>
      </c>
      <c r="B110" s="885"/>
      <c r="C110" s="894" t="s">
        <v>595</v>
      </c>
      <c r="D110" s="887">
        <v>0</v>
      </c>
      <c r="E110" s="887">
        <v>0</v>
      </c>
      <c r="F110" s="888">
        <f t="shared" si="1"/>
        <v>0</v>
      </c>
      <c r="G110" s="306"/>
      <c r="H110" s="306"/>
      <c r="I110" s="306"/>
      <c r="J110" s="306"/>
      <c r="K110" s="306"/>
      <c r="L110" s="306"/>
      <c r="M110" s="306"/>
      <c r="N110" s="306"/>
      <c r="O110" s="306"/>
      <c r="P110" s="306"/>
      <c r="Q110" s="306"/>
    </row>
    <row r="111" spans="1:17" s="309" customFormat="1" ht="30" customHeight="1">
      <c r="A111" s="884" t="s">
        <v>596</v>
      </c>
      <c r="B111" s="885"/>
      <c r="C111" s="894" t="s">
        <v>597</v>
      </c>
      <c r="D111" s="887">
        <v>0</v>
      </c>
      <c r="E111" s="887">
        <v>0</v>
      </c>
      <c r="F111" s="888">
        <f t="shared" si="1"/>
        <v>0</v>
      </c>
      <c r="G111" s="306"/>
      <c r="H111" s="306"/>
      <c r="I111" s="306"/>
      <c r="J111" s="306"/>
      <c r="K111" s="306"/>
      <c r="L111" s="306"/>
      <c r="M111" s="306"/>
      <c r="N111" s="306"/>
      <c r="O111" s="306"/>
      <c r="P111" s="306"/>
      <c r="Q111" s="306"/>
    </row>
    <row r="112" spans="1:17" s="309" customFormat="1" ht="30" customHeight="1">
      <c r="A112" s="884" t="s">
        <v>599</v>
      </c>
      <c r="B112" s="885"/>
      <c r="C112" s="894" t="s">
        <v>600</v>
      </c>
      <c r="D112" s="887">
        <v>0</v>
      </c>
      <c r="E112" s="887">
        <v>0</v>
      </c>
      <c r="F112" s="888">
        <f t="shared" si="1"/>
        <v>0</v>
      </c>
      <c r="G112" s="306"/>
      <c r="H112" s="306"/>
      <c r="I112" s="306"/>
      <c r="J112" s="306"/>
      <c r="K112" s="306"/>
      <c r="L112" s="306"/>
      <c r="M112" s="306"/>
      <c r="N112" s="306"/>
      <c r="O112" s="306"/>
      <c r="P112" s="306"/>
      <c r="Q112" s="306"/>
    </row>
    <row r="113" spans="1:17" s="309" customFormat="1" ht="30" customHeight="1">
      <c r="A113" s="884" t="s">
        <v>598</v>
      </c>
      <c r="B113" s="885"/>
      <c r="C113" s="894">
        <v>73050</v>
      </c>
      <c r="D113" s="887">
        <v>0</v>
      </c>
      <c r="E113" s="887">
        <v>0</v>
      </c>
      <c r="F113" s="888">
        <f>+D113+E113</f>
        <v>0</v>
      </c>
      <c r="G113" s="306"/>
      <c r="H113" s="306"/>
      <c r="I113" s="306"/>
      <c r="J113" s="306"/>
      <c r="K113" s="306"/>
      <c r="L113" s="306"/>
      <c r="M113" s="306"/>
      <c r="N113" s="306"/>
      <c r="O113" s="306"/>
      <c r="P113" s="306"/>
      <c r="Q113" s="306"/>
    </row>
    <row r="114" spans="1:17" s="309" customFormat="1" ht="30" customHeight="1">
      <c r="A114" s="1195" t="s">
        <v>781</v>
      </c>
      <c r="B114" s="885"/>
      <c r="C114" s="1192">
        <v>73100</v>
      </c>
      <c r="D114" s="1193">
        <v>0</v>
      </c>
      <c r="E114" s="1193"/>
      <c r="F114" s="1194"/>
      <c r="G114" s="306"/>
      <c r="H114" s="306"/>
      <c r="I114" s="306"/>
      <c r="J114" s="306"/>
      <c r="K114" s="306"/>
      <c r="L114" s="306"/>
      <c r="M114" s="306"/>
      <c r="N114" s="306"/>
      <c r="O114" s="306"/>
      <c r="P114" s="306"/>
      <c r="Q114" s="306"/>
    </row>
    <row r="115" spans="1:17" s="309" customFormat="1" ht="30" customHeight="1">
      <c r="A115" s="884" t="s">
        <v>657</v>
      </c>
      <c r="B115" s="885"/>
      <c r="C115" s="894" t="s">
        <v>602</v>
      </c>
      <c r="D115" s="887">
        <v>0</v>
      </c>
      <c r="E115" s="887">
        <v>0</v>
      </c>
      <c r="F115" s="888">
        <f t="shared" si="1"/>
        <v>0</v>
      </c>
      <c r="G115" s="306"/>
      <c r="H115" s="306"/>
      <c r="I115" s="306"/>
      <c r="J115" s="306"/>
      <c r="K115" s="306"/>
      <c r="L115" s="306"/>
      <c r="M115" s="306"/>
      <c r="N115" s="306"/>
      <c r="O115" s="306"/>
      <c r="P115" s="306"/>
      <c r="Q115" s="306"/>
    </row>
    <row r="116" spans="1:17" s="309" customFormat="1" ht="30" customHeight="1">
      <c r="A116" s="884" t="s">
        <v>603</v>
      </c>
      <c r="B116" s="885"/>
      <c r="C116" s="894" t="s">
        <v>604</v>
      </c>
      <c r="D116" s="887">
        <v>0</v>
      </c>
      <c r="E116" s="887">
        <v>0</v>
      </c>
      <c r="F116" s="888">
        <f t="shared" si="1"/>
        <v>0</v>
      </c>
      <c r="G116" s="306"/>
      <c r="H116" s="306"/>
      <c r="I116" s="306"/>
      <c r="J116" s="306"/>
      <c r="K116" s="306"/>
      <c r="L116" s="306"/>
      <c r="M116" s="306"/>
      <c r="N116" s="306"/>
      <c r="O116" s="306"/>
      <c r="P116" s="306"/>
      <c r="Q116" s="306"/>
    </row>
    <row r="117" spans="1:17" s="309" customFormat="1" ht="30" customHeight="1">
      <c r="A117" s="884" t="s">
        <v>605</v>
      </c>
      <c r="B117" s="885"/>
      <c r="C117" s="894" t="s">
        <v>606</v>
      </c>
      <c r="D117" s="887">
        <v>0</v>
      </c>
      <c r="E117" s="887">
        <v>0</v>
      </c>
      <c r="F117" s="888">
        <f t="shared" si="1"/>
        <v>0</v>
      </c>
      <c r="G117" s="306"/>
      <c r="H117" s="306"/>
      <c r="I117" s="306"/>
      <c r="J117" s="306"/>
      <c r="K117" s="306"/>
      <c r="L117" s="306"/>
      <c r="M117" s="306"/>
      <c r="N117" s="306"/>
      <c r="O117" s="306"/>
      <c r="P117" s="306"/>
      <c r="Q117" s="306"/>
    </row>
    <row r="118" spans="1:17" s="309" customFormat="1" ht="30" customHeight="1" thickBot="1">
      <c r="A118" s="889" t="s">
        <v>607</v>
      </c>
      <c r="B118" s="890"/>
      <c r="C118" s="895" t="s">
        <v>608</v>
      </c>
      <c r="D118" s="892">
        <v>0</v>
      </c>
      <c r="E118" s="892">
        <v>0</v>
      </c>
      <c r="F118" s="893">
        <f t="shared" si="1"/>
        <v>0</v>
      </c>
      <c r="G118" s="306"/>
      <c r="H118" s="306"/>
      <c r="I118" s="306"/>
      <c r="J118" s="306"/>
      <c r="K118" s="306"/>
      <c r="L118" s="306"/>
      <c r="M118" s="306"/>
      <c r="N118" s="306"/>
      <c r="O118" s="306"/>
      <c r="P118" s="306"/>
      <c r="Q118" s="306"/>
    </row>
    <row r="119" spans="1:17" s="309" customFormat="1" ht="30" customHeight="1" thickBot="1">
      <c r="A119" s="345" t="s">
        <v>609</v>
      </c>
      <c r="B119" s="346"/>
      <c r="C119" s="346"/>
      <c r="D119" s="347">
        <f>SUM(D108:D118)</f>
        <v>26139</v>
      </c>
      <c r="E119" s="347">
        <f>SUM(E108:E118)</f>
        <v>0</v>
      </c>
      <c r="F119" s="347">
        <f>SUM(D119:E119)</f>
        <v>26139</v>
      </c>
      <c r="G119" s="306"/>
      <c r="H119" s="306"/>
      <c r="I119" s="306"/>
      <c r="J119" s="306"/>
      <c r="K119" s="306"/>
      <c r="L119" s="306"/>
      <c r="M119" s="306"/>
      <c r="N119" s="306"/>
      <c r="O119" s="306"/>
      <c r="P119" s="306"/>
      <c r="Q119" s="306"/>
    </row>
    <row r="120" spans="1:17" s="309" customFormat="1" ht="30" customHeight="1" thickBot="1">
      <c r="A120" s="351"/>
      <c r="B120" s="352"/>
      <c r="C120" s="348"/>
      <c r="D120" s="349"/>
      <c r="E120" s="349"/>
      <c r="F120" s="349"/>
      <c r="G120" s="306"/>
      <c r="H120" s="306"/>
      <c r="I120" s="306"/>
      <c r="J120" s="306"/>
      <c r="K120" s="306"/>
      <c r="L120" s="306"/>
      <c r="M120" s="306"/>
      <c r="N120" s="306"/>
      <c r="O120" s="306"/>
      <c r="P120" s="306"/>
      <c r="Q120" s="306"/>
    </row>
    <row r="121" spans="1:17" s="309" customFormat="1" ht="30" customHeight="1" thickBot="1">
      <c r="A121" s="1027" t="s">
        <v>610</v>
      </c>
      <c r="B121" s="1032"/>
      <c r="C121" s="333"/>
      <c r="D121" s="343">
        <f>+D57+D103+D119</f>
        <v>12967855</v>
      </c>
      <c r="E121" s="343">
        <f>+E57+E103+E119</f>
        <v>0</v>
      </c>
      <c r="F121" s="343">
        <f>SUM(D121:E121)</f>
        <v>12967855</v>
      </c>
      <c r="G121" s="306"/>
      <c r="H121" s="306"/>
      <c r="I121" s="306"/>
      <c r="J121" s="306"/>
      <c r="K121" s="306"/>
      <c r="L121" s="306"/>
      <c r="M121" s="306"/>
      <c r="N121" s="306"/>
      <c r="O121" s="306"/>
      <c r="P121" s="306"/>
      <c r="Q121" s="306"/>
    </row>
    <row r="122" spans="1:17" s="309" customFormat="1" ht="30" customHeight="1">
      <c r="A122" s="307"/>
      <c r="B122" s="19"/>
      <c r="C122" s="19"/>
      <c r="D122" s="19"/>
      <c r="E122" s="19"/>
      <c r="F122" s="322"/>
      <c r="G122" s="307"/>
      <c r="H122" s="306"/>
      <c r="I122" s="306"/>
      <c r="J122" s="306"/>
      <c r="K122" s="306"/>
      <c r="L122" s="306"/>
      <c r="M122" s="306"/>
      <c r="N122" s="306"/>
      <c r="O122" s="306"/>
      <c r="P122" s="306"/>
      <c r="Q122" s="306"/>
    </row>
    <row r="123" spans="1:17" s="667" customFormat="1" ht="30" customHeight="1" thickBot="1">
      <c r="A123" s="25"/>
      <c r="B123" s="25"/>
      <c r="C123" s="25"/>
      <c r="D123" s="25"/>
      <c r="E123" s="25"/>
      <c r="F123" s="25"/>
    </row>
    <row r="124" spans="1:17" s="309" customFormat="1" ht="116.45" customHeight="1" thickBot="1">
      <c r="A124" s="1162" t="s">
        <v>658</v>
      </c>
      <c r="B124" s="1163"/>
      <c r="C124" s="293" t="s">
        <v>284</v>
      </c>
      <c r="D124" s="295" t="s">
        <v>647</v>
      </c>
      <c r="E124" s="295" t="s">
        <v>648</v>
      </c>
      <c r="F124" s="295" t="s">
        <v>649</v>
      </c>
      <c r="G124" s="306"/>
      <c r="H124" s="306"/>
      <c r="I124" s="306"/>
      <c r="J124" s="306"/>
      <c r="K124" s="306"/>
      <c r="L124" s="306"/>
      <c r="M124" s="306"/>
      <c r="N124" s="306"/>
      <c r="O124" s="306"/>
      <c r="P124" s="306"/>
      <c r="Q124" s="306"/>
    </row>
    <row r="125" spans="1:17" s="340" customFormat="1" ht="30" customHeight="1">
      <c r="A125" s="304" t="s">
        <v>659</v>
      </c>
      <c r="B125" s="337"/>
      <c r="C125" s="338"/>
      <c r="D125" s="576">
        <v>0</v>
      </c>
      <c r="E125" s="576">
        <v>0</v>
      </c>
      <c r="F125" s="577">
        <f>+D125+E125</f>
        <v>0</v>
      </c>
      <c r="G125" s="339"/>
      <c r="H125" s="339"/>
      <c r="I125" s="339"/>
      <c r="J125" s="339"/>
      <c r="K125" s="339"/>
      <c r="L125" s="339"/>
      <c r="M125" s="339"/>
      <c r="N125" s="339"/>
      <c r="O125" s="339"/>
      <c r="P125" s="339"/>
      <c r="Q125" s="339"/>
    </row>
    <row r="126" spans="1:17" s="340" customFormat="1" ht="30" customHeight="1">
      <c r="A126" s="884" t="s">
        <v>660</v>
      </c>
      <c r="B126" s="744"/>
      <c r="C126" s="896"/>
      <c r="D126" s="897">
        <f>'EXHIBIT C'!H10</f>
        <v>7560877</v>
      </c>
      <c r="E126" s="887">
        <v>0</v>
      </c>
      <c r="F126" s="888">
        <f t="shared" ref="F126:F136" si="3">+D126+E126</f>
        <v>7560877</v>
      </c>
      <c r="G126" s="339"/>
      <c r="H126" s="339"/>
      <c r="I126" s="339"/>
      <c r="J126" s="339"/>
      <c r="K126" s="339"/>
      <c r="L126" s="339"/>
      <c r="M126" s="339"/>
      <c r="N126" s="339"/>
      <c r="O126" s="339"/>
      <c r="P126" s="339"/>
      <c r="Q126" s="339"/>
    </row>
    <row r="127" spans="1:17" s="340" customFormat="1" ht="30" customHeight="1">
      <c r="A127" s="884" t="s">
        <v>661</v>
      </c>
      <c r="B127" s="744"/>
      <c r="C127" s="896"/>
      <c r="D127" s="897">
        <f>'EXHIBIT C'!F19</f>
        <v>473634</v>
      </c>
      <c r="E127" s="887">
        <v>0</v>
      </c>
      <c r="F127" s="888">
        <f t="shared" si="3"/>
        <v>473634</v>
      </c>
      <c r="G127" s="339"/>
      <c r="H127" s="339"/>
      <c r="I127" s="339"/>
      <c r="J127" s="339"/>
      <c r="K127" s="339"/>
      <c r="L127" s="339"/>
      <c r="M127" s="339"/>
      <c r="N127" s="339"/>
      <c r="O127" s="339"/>
      <c r="P127" s="339"/>
      <c r="Q127" s="339"/>
    </row>
    <row r="128" spans="1:17" s="340" customFormat="1" ht="30" customHeight="1">
      <c r="A128" s="884" t="s">
        <v>662</v>
      </c>
      <c r="B128" s="744"/>
      <c r="C128" s="896"/>
      <c r="D128" s="887">
        <f>20000+85289+9622+983115+252077+414336+6300+147300</f>
        <v>1918039</v>
      </c>
      <c r="E128" s="887">
        <v>0</v>
      </c>
      <c r="F128" s="888">
        <f t="shared" si="3"/>
        <v>1918039</v>
      </c>
      <c r="G128" s="339"/>
      <c r="H128" s="339"/>
      <c r="I128" s="339"/>
      <c r="J128" s="339"/>
      <c r="K128" s="339"/>
      <c r="L128" s="339"/>
      <c r="M128" s="339"/>
      <c r="N128" s="339"/>
      <c r="O128" s="339"/>
      <c r="P128" s="339"/>
      <c r="Q128" s="339"/>
    </row>
    <row r="129" spans="1:17" s="340" customFormat="1" ht="30" customHeight="1">
      <c r="A129" s="884" t="s">
        <v>663</v>
      </c>
      <c r="B129" s="744"/>
      <c r="C129" s="896"/>
      <c r="D129" s="887">
        <v>0</v>
      </c>
      <c r="E129" s="887">
        <v>0</v>
      </c>
      <c r="F129" s="888">
        <f t="shared" si="3"/>
        <v>0</v>
      </c>
      <c r="G129" s="339"/>
      <c r="H129" s="339"/>
      <c r="I129" s="339"/>
      <c r="J129" s="339"/>
      <c r="K129" s="339"/>
      <c r="L129" s="339"/>
      <c r="M129" s="339"/>
      <c r="N129" s="339"/>
      <c r="O129" s="339"/>
      <c r="P129" s="339"/>
      <c r="Q129" s="339"/>
    </row>
    <row r="130" spans="1:17" s="340" customFormat="1" ht="50.25" customHeight="1">
      <c r="A130" s="1166" t="s">
        <v>774</v>
      </c>
      <c r="B130" s="1167"/>
      <c r="C130" s="896"/>
      <c r="D130" s="887">
        <v>484193</v>
      </c>
      <c r="E130" s="887">
        <v>0</v>
      </c>
      <c r="F130" s="888">
        <f t="shared" si="3"/>
        <v>484193</v>
      </c>
      <c r="G130" s="339"/>
      <c r="H130" s="339"/>
      <c r="I130" s="339"/>
      <c r="J130" s="339"/>
      <c r="K130" s="339"/>
      <c r="L130" s="339"/>
      <c r="M130" s="339"/>
      <c r="N130" s="339"/>
      <c r="O130" s="339"/>
      <c r="P130" s="339"/>
      <c r="Q130" s="339"/>
    </row>
    <row r="131" spans="1:17" s="340" customFormat="1" ht="30" customHeight="1">
      <c r="A131" s="884" t="s">
        <v>664</v>
      </c>
      <c r="B131" s="744"/>
      <c r="C131" s="896"/>
      <c r="D131" s="887">
        <f>2531113-1</f>
        <v>2531112</v>
      </c>
      <c r="E131" s="887">
        <v>0</v>
      </c>
      <c r="F131" s="888">
        <f t="shared" si="3"/>
        <v>2531112</v>
      </c>
      <c r="G131" s="339"/>
      <c r="H131" s="339"/>
      <c r="I131" s="339"/>
      <c r="J131" s="339"/>
      <c r="K131" s="339"/>
      <c r="L131" s="339"/>
      <c r="M131" s="339"/>
      <c r="N131" s="339"/>
      <c r="O131" s="339"/>
      <c r="P131" s="339"/>
      <c r="Q131" s="339"/>
    </row>
    <row r="132" spans="1:17" s="340" customFormat="1" ht="30" customHeight="1">
      <c r="A132" s="884" t="s">
        <v>665</v>
      </c>
      <c r="B132" s="744"/>
      <c r="C132" s="896"/>
      <c r="D132" s="887">
        <v>0</v>
      </c>
      <c r="E132" s="887">
        <v>0</v>
      </c>
      <c r="F132" s="888">
        <f t="shared" si="3"/>
        <v>0</v>
      </c>
      <c r="G132" s="339"/>
      <c r="H132" s="339"/>
      <c r="I132" s="339"/>
      <c r="J132" s="339"/>
      <c r="K132" s="339"/>
      <c r="L132" s="339"/>
      <c r="M132" s="339"/>
      <c r="N132" s="339"/>
      <c r="O132" s="339"/>
      <c r="P132" s="339"/>
      <c r="Q132" s="339"/>
    </row>
    <row r="133" spans="1:17" s="340" customFormat="1" ht="30" customHeight="1">
      <c r="A133" s="884" t="s">
        <v>666</v>
      </c>
      <c r="B133" s="744"/>
      <c r="C133" s="896"/>
      <c r="D133" s="887">
        <v>0</v>
      </c>
      <c r="E133" s="887">
        <v>0</v>
      </c>
      <c r="F133" s="888">
        <f t="shared" si="3"/>
        <v>0</v>
      </c>
      <c r="G133" s="339"/>
      <c r="H133" s="339"/>
      <c r="I133" s="339"/>
      <c r="J133" s="339"/>
      <c r="K133" s="339"/>
      <c r="L133" s="339"/>
      <c r="M133" s="339"/>
      <c r="N133" s="339"/>
      <c r="O133" s="339"/>
      <c r="P133" s="339"/>
      <c r="Q133" s="339"/>
    </row>
    <row r="134" spans="1:17" s="340" customFormat="1" ht="30" customHeight="1">
      <c r="A134" s="884" t="s">
        <v>667</v>
      </c>
      <c r="B134" s="744"/>
      <c r="C134" s="896"/>
      <c r="D134" s="887">
        <v>0</v>
      </c>
      <c r="E134" s="887">
        <v>0</v>
      </c>
      <c r="F134" s="888">
        <f t="shared" si="3"/>
        <v>0</v>
      </c>
      <c r="G134" s="339"/>
      <c r="H134" s="339"/>
      <c r="I134" s="339"/>
      <c r="J134" s="339"/>
      <c r="K134" s="339"/>
      <c r="L134" s="339"/>
      <c r="M134" s="339"/>
      <c r="N134" s="339"/>
      <c r="O134" s="339"/>
      <c r="P134" s="339"/>
      <c r="Q134" s="339"/>
    </row>
    <row r="135" spans="1:17" s="340" customFormat="1" ht="30" customHeight="1">
      <c r="A135" s="884" t="s">
        <v>668</v>
      </c>
      <c r="B135" s="744"/>
      <c r="C135" s="896"/>
      <c r="D135" s="887">
        <v>0</v>
      </c>
      <c r="E135" s="887">
        <v>0</v>
      </c>
      <c r="F135" s="888">
        <f t="shared" si="3"/>
        <v>0</v>
      </c>
      <c r="G135" s="339"/>
      <c r="H135" s="339"/>
      <c r="I135" s="339"/>
      <c r="J135" s="339"/>
      <c r="K135" s="339"/>
      <c r="L135" s="339"/>
      <c r="M135" s="339"/>
      <c r="N135" s="339"/>
      <c r="O135" s="339"/>
      <c r="P135" s="339"/>
      <c r="Q135" s="339"/>
    </row>
    <row r="136" spans="1:17" s="340" customFormat="1" ht="30" customHeight="1" thickBot="1">
      <c r="A136" s="889" t="s">
        <v>669</v>
      </c>
      <c r="B136" s="898"/>
      <c r="C136" s="899"/>
      <c r="D136" s="892">
        <v>0</v>
      </c>
      <c r="E136" s="892">
        <v>0</v>
      </c>
      <c r="F136" s="893">
        <f t="shared" si="3"/>
        <v>0</v>
      </c>
      <c r="G136" s="339"/>
      <c r="H136" s="339"/>
      <c r="I136" s="339"/>
      <c r="J136" s="339"/>
      <c r="K136" s="339"/>
      <c r="L136" s="339"/>
      <c r="M136" s="339"/>
      <c r="N136" s="339"/>
      <c r="O136" s="339"/>
      <c r="P136" s="339"/>
      <c r="Q136" s="339"/>
    </row>
    <row r="137" spans="1:17" ht="30" customHeight="1" thickBot="1">
      <c r="A137" s="1027" t="s">
        <v>670</v>
      </c>
      <c r="B137" s="1028"/>
      <c r="C137" s="333"/>
      <c r="D137" s="334">
        <f>SUM(D125:D136)</f>
        <v>12967855</v>
      </c>
      <c r="E137" s="335">
        <f>SUM(E125:E136)</f>
        <v>0</v>
      </c>
      <c r="F137" s="336">
        <f>SUM(F125:F136)</f>
        <v>12967855</v>
      </c>
      <c r="G137" s="323"/>
      <c r="H137" s="323"/>
      <c r="I137" s="323"/>
      <c r="J137" s="323"/>
      <c r="K137" s="323"/>
      <c r="L137" s="323"/>
      <c r="M137" s="323"/>
      <c r="N137" s="323"/>
      <c r="O137" s="323"/>
      <c r="P137" s="323"/>
      <c r="Q137" s="323"/>
    </row>
    <row r="138" spans="1:17" ht="20.25" customHeight="1">
      <c r="A138" s="324"/>
      <c r="B138" s="324"/>
      <c r="C138" s="325"/>
      <c r="D138" s="326"/>
      <c r="E138" s="326"/>
      <c r="F138" s="326"/>
      <c r="G138" s="323"/>
      <c r="H138" s="323"/>
      <c r="I138" s="323"/>
      <c r="J138" s="323"/>
      <c r="K138" s="323"/>
      <c r="L138" s="323"/>
      <c r="M138" s="323"/>
      <c r="N138" s="323"/>
      <c r="O138" s="323"/>
      <c r="P138" s="323"/>
      <c r="Q138" s="323"/>
    </row>
    <row r="139" spans="1:17" ht="110.1" customHeight="1">
      <c r="A139" s="1102" t="s">
        <v>671</v>
      </c>
      <c r="B139" s="1102"/>
      <c r="C139" s="1103"/>
      <c r="D139" s="327">
        <f>D137-D121</f>
        <v>0</v>
      </c>
      <c r="E139" s="327">
        <f t="shared" ref="E139:F139" si="4">E137-E121</f>
        <v>0</v>
      </c>
      <c r="F139" s="327">
        <f t="shared" si="4"/>
        <v>0</v>
      </c>
      <c r="G139" s="323"/>
      <c r="H139" s="323"/>
      <c r="I139" s="323"/>
      <c r="J139" s="323"/>
      <c r="K139" s="323"/>
      <c r="L139" s="323"/>
      <c r="M139" s="323"/>
      <c r="N139" s="323"/>
      <c r="O139" s="323"/>
      <c r="P139" s="323"/>
      <c r="Q139" s="323"/>
    </row>
    <row r="140" spans="1:17" ht="14.1" customHeight="1">
      <c r="A140" s="324"/>
      <c r="B140" s="324"/>
      <c r="C140" s="325"/>
      <c r="D140" s="326"/>
      <c r="E140" s="326"/>
      <c r="F140" s="326"/>
      <c r="G140" s="323"/>
      <c r="H140" s="323"/>
      <c r="I140" s="323"/>
      <c r="J140" s="323"/>
      <c r="K140" s="323"/>
      <c r="L140" s="323"/>
      <c r="M140" s="323"/>
      <c r="N140" s="323"/>
      <c r="O140" s="323"/>
      <c r="P140" s="323"/>
      <c r="Q140" s="323"/>
    </row>
    <row r="141" spans="1:17" ht="26.1" customHeight="1" thickBot="1">
      <c r="A141" s="582" t="s">
        <v>672</v>
      </c>
      <c r="B141" s="309"/>
      <c r="C141" s="309"/>
      <c r="D141" s="328"/>
      <c r="E141" s="328"/>
      <c r="F141" s="329"/>
      <c r="G141" s="323"/>
      <c r="H141" s="323"/>
      <c r="I141" s="323"/>
      <c r="J141" s="323"/>
      <c r="K141" s="323"/>
      <c r="L141" s="323"/>
      <c r="M141" s="323"/>
      <c r="N141" s="323"/>
      <c r="O141" s="323"/>
      <c r="P141" s="323"/>
      <c r="Q141" s="323"/>
    </row>
    <row r="142" spans="1:17" ht="30" customHeight="1">
      <c r="A142" s="1019"/>
      <c r="B142" s="1020"/>
      <c r="C142" s="1020"/>
      <c r="D142" s="1020"/>
      <c r="E142" s="1020"/>
      <c r="F142" s="1021"/>
      <c r="G142" s="323"/>
      <c r="H142" s="323"/>
      <c r="I142" s="323"/>
      <c r="J142" s="323"/>
      <c r="K142" s="323"/>
      <c r="L142" s="323"/>
      <c r="M142" s="323"/>
      <c r="N142" s="323"/>
      <c r="O142" s="323"/>
      <c r="P142" s="323"/>
      <c r="Q142" s="323"/>
    </row>
    <row r="143" spans="1:17" ht="30" customHeight="1">
      <c r="A143" s="1022"/>
      <c r="B143" s="975"/>
      <c r="C143" s="975"/>
      <c r="D143" s="975"/>
      <c r="E143" s="975"/>
      <c r="F143" s="1023"/>
      <c r="G143" s="323"/>
      <c r="H143" s="323"/>
      <c r="I143" s="323"/>
      <c r="J143" s="323"/>
      <c r="K143" s="323"/>
      <c r="L143" s="323"/>
      <c r="M143" s="323"/>
      <c r="N143" s="323"/>
      <c r="O143" s="323"/>
      <c r="P143" s="323"/>
      <c r="Q143" s="323"/>
    </row>
    <row r="144" spans="1:17" ht="30" customHeight="1">
      <c r="A144" s="1022"/>
      <c r="B144" s="975"/>
      <c r="C144" s="975"/>
      <c r="D144" s="975"/>
      <c r="E144" s="975"/>
      <c r="F144" s="1023"/>
      <c r="G144" s="323"/>
      <c r="H144" s="323"/>
      <c r="I144" s="323"/>
      <c r="J144" s="323"/>
      <c r="K144" s="323"/>
      <c r="L144" s="323"/>
      <c r="M144" s="323"/>
      <c r="N144" s="323"/>
      <c r="O144" s="323"/>
      <c r="P144" s="323"/>
      <c r="Q144" s="323"/>
    </row>
    <row r="145" spans="1:17" ht="30" customHeight="1">
      <c r="A145" s="1022"/>
      <c r="B145" s="975"/>
      <c r="C145" s="975"/>
      <c r="D145" s="975"/>
      <c r="E145" s="975"/>
      <c r="F145" s="1023"/>
      <c r="G145" s="323"/>
      <c r="H145" s="323"/>
      <c r="I145" s="323"/>
      <c r="J145" s="323"/>
      <c r="K145" s="323"/>
      <c r="L145" s="323"/>
      <c r="M145" s="323"/>
      <c r="N145" s="323"/>
      <c r="O145" s="323"/>
      <c r="P145" s="323"/>
      <c r="Q145" s="323"/>
    </row>
    <row r="146" spans="1:17" ht="30" customHeight="1">
      <c r="A146" s="1022"/>
      <c r="B146" s="975"/>
      <c r="C146" s="975"/>
      <c r="D146" s="975"/>
      <c r="E146" s="975"/>
      <c r="F146" s="1023"/>
      <c r="G146" s="323"/>
      <c r="H146" s="323"/>
      <c r="I146" s="323"/>
      <c r="J146" s="323"/>
      <c r="K146" s="323"/>
      <c r="L146" s="323"/>
      <c r="M146" s="323"/>
      <c r="N146" s="323"/>
      <c r="O146" s="323"/>
      <c r="P146" s="323"/>
      <c r="Q146" s="323"/>
    </row>
    <row r="147" spans="1:17" ht="30" customHeight="1">
      <c r="A147" s="1022"/>
      <c r="B147" s="975"/>
      <c r="C147" s="975"/>
      <c r="D147" s="975"/>
      <c r="E147" s="975"/>
      <c r="F147" s="1023"/>
      <c r="G147" s="323"/>
      <c r="H147" s="323"/>
      <c r="I147" s="323"/>
      <c r="J147" s="323"/>
      <c r="K147" s="323"/>
      <c r="L147" s="323"/>
      <c r="M147" s="323"/>
      <c r="N147" s="323"/>
      <c r="O147" s="323"/>
      <c r="P147" s="323"/>
      <c r="Q147" s="323"/>
    </row>
    <row r="148" spans="1:17" ht="30" customHeight="1" thickBot="1">
      <c r="A148" s="1024"/>
      <c r="B148" s="1025"/>
      <c r="C148" s="1025"/>
      <c r="D148" s="1025"/>
      <c r="E148" s="1025"/>
      <c r="F148" s="1026"/>
      <c r="G148" s="323"/>
      <c r="H148" s="323"/>
      <c r="I148" s="323"/>
      <c r="J148" s="323"/>
      <c r="K148" s="323"/>
      <c r="L148" s="323"/>
      <c r="M148" s="323"/>
      <c r="N148" s="323"/>
      <c r="O148" s="323"/>
      <c r="P148" s="323"/>
      <c r="Q148" s="323"/>
    </row>
    <row r="149" spans="1:17" ht="30" customHeight="1">
      <c r="A149" s="579"/>
      <c r="B149" s="579"/>
      <c r="C149" s="579"/>
      <c r="D149" s="579"/>
      <c r="E149" s="579"/>
      <c r="F149" s="579"/>
      <c r="G149" s="323"/>
      <c r="H149" s="323"/>
      <c r="I149" s="323"/>
      <c r="J149" s="323"/>
      <c r="K149" s="323"/>
      <c r="L149" s="323"/>
      <c r="M149" s="323"/>
      <c r="N149" s="323"/>
      <c r="O149" s="323"/>
      <c r="P149" s="323"/>
      <c r="Q149" s="323"/>
    </row>
    <row r="150" spans="1:17" ht="27" customHeight="1" thickBot="1">
      <c r="A150" s="582" t="s">
        <v>673</v>
      </c>
      <c r="B150" s="580"/>
      <c r="C150" s="580"/>
      <c r="D150" s="328"/>
      <c r="E150" s="328"/>
      <c r="F150" s="329"/>
      <c r="G150" s="323"/>
      <c r="H150" s="323"/>
      <c r="I150" s="323"/>
      <c r="J150" s="323"/>
      <c r="K150" s="323"/>
      <c r="L150" s="323"/>
      <c r="M150" s="323"/>
      <c r="N150" s="323"/>
      <c r="O150" s="323"/>
      <c r="P150" s="323"/>
      <c r="Q150" s="323"/>
    </row>
    <row r="151" spans="1:17" ht="30" customHeight="1">
      <c r="A151" s="1019"/>
      <c r="B151" s="1020"/>
      <c r="C151" s="1020"/>
      <c r="D151" s="1020"/>
      <c r="E151" s="1020"/>
      <c r="F151" s="1021"/>
      <c r="G151" s="323"/>
      <c r="H151" s="323"/>
      <c r="I151" s="323"/>
      <c r="J151" s="323"/>
      <c r="K151" s="323"/>
      <c r="L151" s="323"/>
      <c r="M151" s="323"/>
      <c r="N151" s="323"/>
      <c r="O151" s="323"/>
      <c r="P151" s="323"/>
      <c r="Q151" s="323"/>
    </row>
    <row r="152" spans="1:17" ht="30" customHeight="1">
      <c r="A152" s="1022"/>
      <c r="B152" s="975"/>
      <c r="C152" s="975"/>
      <c r="D152" s="975"/>
      <c r="E152" s="975"/>
      <c r="F152" s="1023"/>
      <c r="G152" s="323"/>
      <c r="H152" s="323"/>
      <c r="I152" s="323"/>
      <c r="J152" s="323"/>
      <c r="K152" s="323"/>
      <c r="L152" s="323"/>
      <c r="M152" s="323"/>
      <c r="N152" s="323"/>
      <c r="O152" s="323"/>
      <c r="P152" s="323"/>
      <c r="Q152" s="323"/>
    </row>
    <row r="153" spans="1:17" ht="30" customHeight="1">
      <c r="A153" s="1022"/>
      <c r="B153" s="975"/>
      <c r="C153" s="975"/>
      <c r="D153" s="975"/>
      <c r="E153" s="975"/>
      <c r="F153" s="1023"/>
      <c r="G153" s="323"/>
      <c r="H153" s="323"/>
      <c r="I153" s="323"/>
      <c r="J153" s="323"/>
      <c r="K153" s="323"/>
      <c r="L153" s="323"/>
      <c r="M153" s="323"/>
      <c r="N153" s="323"/>
      <c r="O153" s="323"/>
      <c r="P153" s="323"/>
      <c r="Q153" s="323"/>
    </row>
    <row r="154" spans="1:17" ht="30" customHeight="1">
      <c r="A154" s="1022"/>
      <c r="B154" s="975"/>
      <c r="C154" s="975"/>
      <c r="D154" s="975"/>
      <c r="E154" s="975"/>
      <c r="F154" s="1023"/>
      <c r="G154" s="323"/>
      <c r="H154" s="323"/>
      <c r="I154" s="323"/>
      <c r="J154" s="323"/>
      <c r="K154" s="323"/>
      <c r="L154" s="323"/>
      <c r="M154" s="323"/>
      <c r="N154" s="323"/>
      <c r="O154" s="323"/>
      <c r="P154" s="323"/>
      <c r="Q154" s="323"/>
    </row>
    <row r="155" spans="1:17" ht="30" customHeight="1">
      <c r="A155" s="1022"/>
      <c r="B155" s="975"/>
      <c r="C155" s="975"/>
      <c r="D155" s="975"/>
      <c r="E155" s="975"/>
      <c r="F155" s="1023"/>
      <c r="G155" s="323"/>
      <c r="H155" s="323"/>
      <c r="I155" s="323"/>
      <c r="J155" s="323"/>
      <c r="K155" s="323"/>
      <c r="L155" s="323"/>
      <c r="M155" s="323"/>
      <c r="N155" s="323"/>
      <c r="O155" s="323"/>
      <c r="P155" s="323"/>
      <c r="Q155" s="323"/>
    </row>
    <row r="156" spans="1:17" ht="30" customHeight="1">
      <c r="A156" s="1022"/>
      <c r="B156" s="975"/>
      <c r="C156" s="975"/>
      <c r="D156" s="975"/>
      <c r="E156" s="975"/>
      <c r="F156" s="1023"/>
      <c r="G156" s="323"/>
      <c r="H156" s="323"/>
      <c r="I156" s="323"/>
      <c r="J156" s="323"/>
      <c r="K156" s="323"/>
      <c r="L156" s="323"/>
      <c r="M156" s="323"/>
      <c r="N156" s="323"/>
      <c r="O156" s="323"/>
      <c r="P156" s="323"/>
      <c r="Q156" s="323"/>
    </row>
    <row r="157" spans="1:17" ht="30" customHeight="1" thickBot="1">
      <c r="A157" s="1024"/>
      <c r="B157" s="1025"/>
      <c r="C157" s="1025"/>
      <c r="D157" s="1025"/>
      <c r="E157" s="1025"/>
      <c r="F157" s="1026"/>
      <c r="G157" s="323"/>
      <c r="H157" s="323"/>
      <c r="I157" s="323"/>
      <c r="J157" s="323"/>
      <c r="K157" s="323"/>
      <c r="L157" s="323"/>
      <c r="M157" s="323"/>
      <c r="N157" s="323"/>
      <c r="O157" s="323"/>
      <c r="P157" s="323"/>
      <c r="Q157" s="323"/>
    </row>
    <row r="158" spans="1:17" ht="25.35" customHeight="1">
      <c r="F158" s="331"/>
      <c r="G158" s="323"/>
      <c r="H158" s="323"/>
      <c r="I158" s="323"/>
      <c r="J158" s="323"/>
      <c r="K158" s="323"/>
      <c r="L158" s="323"/>
      <c r="M158" s="323"/>
      <c r="N158" s="323"/>
      <c r="O158" s="323"/>
      <c r="P158" s="323"/>
      <c r="Q158" s="323"/>
    </row>
    <row r="159" spans="1:17" ht="25.35" customHeight="1">
      <c r="F159" s="331"/>
      <c r="G159" s="323"/>
      <c r="H159" s="323"/>
      <c r="I159" s="323"/>
      <c r="J159" s="323"/>
      <c r="K159" s="323"/>
      <c r="L159" s="323"/>
      <c r="M159" s="323"/>
      <c r="N159" s="323"/>
      <c r="O159" s="323"/>
      <c r="P159" s="323"/>
      <c r="Q159" s="323"/>
    </row>
    <row r="160" spans="1:17" ht="25.35" customHeight="1">
      <c r="F160" s="331"/>
      <c r="G160" s="323"/>
      <c r="H160" s="323"/>
      <c r="I160" s="323"/>
      <c r="J160" s="323"/>
      <c r="K160" s="323"/>
      <c r="L160" s="323"/>
      <c r="M160" s="323"/>
      <c r="N160" s="323"/>
      <c r="O160" s="323"/>
      <c r="P160" s="323"/>
      <c r="Q160" s="323"/>
    </row>
    <row r="161" spans="5:17" ht="25.35" customHeight="1">
      <c r="F161" s="331"/>
      <c r="G161" s="323"/>
      <c r="H161" s="323"/>
      <c r="I161" s="323"/>
      <c r="J161" s="323"/>
      <c r="K161" s="323"/>
      <c r="L161" s="323"/>
      <c r="M161" s="323"/>
      <c r="N161" s="323"/>
      <c r="O161" s="323"/>
      <c r="P161" s="323"/>
      <c r="Q161" s="323"/>
    </row>
    <row r="162" spans="5:17" ht="25.35" customHeight="1">
      <c r="F162" s="331"/>
      <c r="G162" s="323"/>
      <c r="H162" s="323"/>
      <c r="I162" s="323"/>
      <c r="J162" s="323"/>
      <c r="K162" s="323"/>
      <c r="L162" s="323"/>
      <c r="M162" s="323"/>
      <c r="N162" s="323"/>
      <c r="O162" s="323"/>
      <c r="P162" s="323"/>
      <c r="Q162" s="323"/>
    </row>
    <row r="163" spans="5:17" ht="25.35" customHeight="1">
      <c r="E163" s="332"/>
      <c r="F163" s="331"/>
      <c r="G163" s="323"/>
      <c r="H163" s="323"/>
      <c r="I163" s="323"/>
      <c r="J163" s="323"/>
      <c r="K163" s="323"/>
      <c r="L163" s="323"/>
      <c r="M163" s="323"/>
      <c r="N163" s="323"/>
      <c r="O163" s="323"/>
      <c r="P163" s="323"/>
      <c r="Q163" s="323"/>
    </row>
    <row r="164" spans="5:17" ht="25.35" customHeight="1">
      <c r="E164" s="332"/>
      <c r="F164" s="331"/>
      <c r="G164" s="323"/>
      <c r="H164" s="323"/>
      <c r="I164" s="323"/>
      <c r="J164" s="323"/>
      <c r="K164" s="323"/>
      <c r="L164" s="323"/>
      <c r="M164" s="323"/>
      <c r="N164" s="323"/>
      <c r="O164" s="323"/>
      <c r="P164" s="323"/>
      <c r="Q164" s="323"/>
    </row>
    <row r="165" spans="5:17" ht="25.35" customHeight="1">
      <c r="E165" s="332"/>
      <c r="F165" s="331"/>
      <c r="G165" s="323"/>
      <c r="H165" s="323"/>
      <c r="I165" s="323"/>
      <c r="J165" s="323"/>
      <c r="K165" s="323"/>
      <c r="L165" s="323"/>
      <c r="M165" s="323"/>
      <c r="N165" s="323"/>
      <c r="O165" s="323"/>
      <c r="P165" s="323"/>
      <c r="Q165" s="323"/>
    </row>
    <row r="166" spans="5:17" ht="25.35" customHeight="1">
      <c r="F166" s="331"/>
      <c r="G166" s="323"/>
      <c r="H166" s="323"/>
      <c r="I166" s="323"/>
      <c r="J166" s="323"/>
      <c r="K166" s="323"/>
      <c r="L166" s="323"/>
      <c r="M166" s="323"/>
      <c r="N166" s="323"/>
      <c r="O166" s="323"/>
      <c r="P166" s="323"/>
      <c r="Q166" s="323"/>
    </row>
    <row r="167" spans="5:17" ht="25.35" customHeight="1">
      <c r="F167" s="331"/>
      <c r="G167" s="323"/>
      <c r="H167" s="323"/>
      <c r="I167" s="323"/>
      <c r="J167" s="323"/>
      <c r="K167" s="323"/>
      <c r="L167" s="323"/>
      <c r="M167" s="323"/>
      <c r="N167" s="323"/>
      <c r="O167" s="323"/>
      <c r="P167" s="323"/>
      <c r="Q167" s="323"/>
    </row>
    <row r="168" spans="5:17" ht="25.35" customHeight="1">
      <c r="F168" s="331"/>
      <c r="G168" s="323"/>
      <c r="H168" s="323"/>
      <c r="I168" s="323"/>
      <c r="J168" s="323"/>
      <c r="K168" s="323"/>
      <c r="L168" s="323"/>
      <c r="M168" s="323"/>
      <c r="N168" s="323"/>
      <c r="O168" s="323"/>
      <c r="P168" s="323"/>
      <c r="Q168" s="323"/>
    </row>
    <row r="169" spans="5:17" ht="25.35" customHeight="1">
      <c r="F169" s="331"/>
      <c r="G169" s="323"/>
      <c r="H169" s="323"/>
      <c r="I169" s="323"/>
      <c r="J169" s="323"/>
      <c r="K169" s="323"/>
      <c r="L169" s="323"/>
      <c r="M169" s="323"/>
      <c r="N169" s="323"/>
      <c r="O169" s="323"/>
      <c r="P169" s="323"/>
      <c r="Q169" s="323"/>
    </row>
    <row r="170" spans="5:17" ht="25.35" customHeight="1">
      <c r="F170" s="331"/>
      <c r="G170" s="323"/>
      <c r="H170" s="323"/>
      <c r="I170" s="323"/>
      <c r="J170" s="323"/>
      <c r="K170" s="323"/>
      <c r="L170" s="323"/>
      <c r="M170" s="323"/>
      <c r="N170" s="323"/>
      <c r="O170" s="323"/>
      <c r="P170" s="323"/>
      <c r="Q170" s="323"/>
    </row>
    <row r="171" spans="5:17" ht="25.35" customHeight="1">
      <c r="F171" s="331"/>
      <c r="G171" s="323"/>
      <c r="H171" s="323"/>
      <c r="I171" s="323"/>
      <c r="J171" s="323"/>
      <c r="K171" s="323"/>
      <c r="L171" s="323"/>
      <c r="M171" s="323"/>
      <c r="N171" s="323"/>
      <c r="O171" s="323"/>
      <c r="P171" s="323"/>
      <c r="Q171" s="323"/>
    </row>
    <row r="172" spans="5:17" ht="25.35" customHeight="1">
      <c r="F172" s="331"/>
      <c r="G172" s="323"/>
      <c r="H172" s="323"/>
      <c r="I172" s="323"/>
      <c r="J172" s="323"/>
      <c r="K172" s="323"/>
      <c r="L172" s="323"/>
      <c r="M172" s="323"/>
      <c r="N172" s="323"/>
      <c r="O172" s="323"/>
      <c r="P172" s="323"/>
      <c r="Q172" s="323"/>
    </row>
    <row r="173" spans="5:17" ht="25.35" customHeight="1">
      <c r="F173" s="331"/>
      <c r="G173" s="323"/>
      <c r="H173" s="323"/>
      <c r="I173" s="323"/>
      <c r="J173" s="323"/>
      <c r="K173" s="323"/>
      <c r="L173" s="323"/>
      <c r="M173" s="323"/>
      <c r="N173" s="323"/>
      <c r="O173" s="323"/>
      <c r="P173" s="323"/>
      <c r="Q173" s="323"/>
    </row>
    <row r="174" spans="5:17" ht="25.35" customHeight="1">
      <c r="F174" s="331"/>
      <c r="G174" s="323"/>
      <c r="H174" s="323"/>
      <c r="I174" s="323"/>
      <c r="J174" s="323"/>
      <c r="K174" s="323"/>
      <c r="L174" s="323"/>
      <c r="M174" s="323"/>
      <c r="N174" s="323"/>
      <c r="O174" s="323"/>
      <c r="P174" s="323"/>
      <c r="Q174" s="323"/>
    </row>
    <row r="175" spans="5:17" ht="25.35" customHeight="1">
      <c r="F175" s="331"/>
      <c r="G175" s="323"/>
      <c r="H175" s="323"/>
      <c r="I175" s="323"/>
      <c r="J175" s="323"/>
      <c r="K175" s="323"/>
      <c r="L175" s="323"/>
      <c r="M175" s="323"/>
      <c r="N175" s="323"/>
      <c r="O175" s="323"/>
      <c r="P175" s="323"/>
      <c r="Q175" s="323"/>
    </row>
    <row r="176" spans="5:17" ht="25.35" customHeight="1">
      <c r="F176" s="331"/>
      <c r="G176" s="323"/>
      <c r="H176" s="323"/>
      <c r="I176" s="323"/>
      <c r="J176" s="323"/>
      <c r="K176" s="323"/>
      <c r="L176" s="323"/>
      <c r="M176" s="323"/>
      <c r="N176" s="323"/>
      <c r="O176" s="323"/>
      <c r="P176" s="323"/>
      <c r="Q176" s="323"/>
    </row>
    <row r="177" spans="6:17" ht="25.35" customHeight="1">
      <c r="F177" s="331"/>
      <c r="G177" s="323"/>
      <c r="H177" s="323"/>
      <c r="I177" s="323"/>
      <c r="J177" s="323"/>
      <c r="K177" s="323"/>
      <c r="L177" s="323"/>
      <c r="M177" s="323"/>
      <c r="N177" s="323"/>
      <c r="O177" s="323"/>
      <c r="P177" s="323"/>
      <c r="Q177" s="323"/>
    </row>
    <row r="178" spans="6:17" ht="25.35" customHeight="1">
      <c r="F178" s="331"/>
      <c r="G178" s="323"/>
      <c r="H178" s="323"/>
      <c r="I178" s="323"/>
      <c r="J178" s="323"/>
      <c r="K178" s="323"/>
      <c r="L178" s="323"/>
      <c r="M178" s="323"/>
      <c r="N178" s="323"/>
      <c r="O178" s="323"/>
      <c r="P178" s="323"/>
      <c r="Q178" s="323"/>
    </row>
    <row r="179" spans="6:17" ht="25.35" customHeight="1">
      <c r="F179" s="331"/>
      <c r="G179" s="323"/>
      <c r="H179" s="323"/>
      <c r="I179" s="323"/>
      <c r="J179" s="323"/>
      <c r="K179" s="323"/>
      <c r="L179" s="323"/>
      <c r="M179" s="323"/>
      <c r="N179" s="323"/>
      <c r="O179" s="323"/>
      <c r="P179" s="323"/>
      <c r="Q179" s="323"/>
    </row>
    <row r="180" spans="6:17" ht="25.35" customHeight="1">
      <c r="F180" s="331"/>
      <c r="G180" s="323"/>
      <c r="H180" s="323"/>
      <c r="I180" s="323"/>
      <c r="J180" s="323"/>
      <c r="K180" s="323"/>
      <c r="L180" s="323"/>
      <c r="M180" s="323"/>
      <c r="N180" s="323"/>
      <c r="O180" s="323"/>
      <c r="P180" s="323"/>
      <c r="Q180" s="323"/>
    </row>
    <row r="181" spans="6:17" ht="25.35" customHeight="1">
      <c r="F181" s="331"/>
      <c r="G181" s="323"/>
      <c r="H181" s="323"/>
      <c r="I181" s="323"/>
      <c r="J181" s="323"/>
      <c r="K181" s="323"/>
      <c r="L181" s="323"/>
      <c r="M181" s="323"/>
      <c r="N181" s="323"/>
      <c r="O181" s="323"/>
      <c r="P181" s="323"/>
      <c r="Q181" s="323"/>
    </row>
    <row r="182" spans="6:17" ht="25.35" customHeight="1">
      <c r="F182" s="331"/>
      <c r="G182" s="323"/>
      <c r="H182" s="323"/>
      <c r="I182" s="323"/>
      <c r="J182" s="323"/>
      <c r="K182" s="323"/>
      <c r="L182" s="323"/>
      <c r="M182" s="323"/>
      <c r="N182" s="323"/>
      <c r="O182" s="323"/>
      <c r="P182" s="323"/>
      <c r="Q182" s="323"/>
    </row>
    <row r="183" spans="6:17" ht="25.35" customHeight="1">
      <c r="F183" s="331"/>
      <c r="G183" s="323"/>
      <c r="H183" s="323"/>
      <c r="I183" s="323"/>
      <c r="J183" s="323"/>
      <c r="K183" s="323"/>
      <c r="L183" s="323"/>
      <c r="M183" s="323"/>
      <c r="N183" s="323"/>
      <c r="O183" s="323"/>
      <c r="P183" s="323"/>
      <c r="Q183" s="323"/>
    </row>
    <row r="184" spans="6:17" ht="25.35" customHeight="1">
      <c r="F184" s="331"/>
      <c r="G184" s="323"/>
      <c r="H184" s="323"/>
      <c r="I184" s="323"/>
      <c r="J184" s="323"/>
      <c r="K184" s="323"/>
      <c r="L184" s="323"/>
      <c r="M184" s="323"/>
      <c r="N184" s="323"/>
      <c r="O184" s="323"/>
      <c r="P184" s="323"/>
      <c r="Q184" s="323"/>
    </row>
    <row r="185" spans="6:17" ht="25.35" customHeight="1">
      <c r="F185" s="331"/>
      <c r="G185" s="323"/>
      <c r="H185" s="323"/>
      <c r="I185" s="323"/>
      <c r="J185" s="323"/>
      <c r="K185" s="323"/>
      <c r="L185" s="323"/>
      <c r="M185" s="323"/>
      <c r="N185" s="323"/>
      <c r="O185" s="323"/>
      <c r="P185" s="323"/>
      <c r="Q185" s="323"/>
    </row>
    <row r="186" spans="6:17" ht="25.35" customHeight="1">
      <c r="F186" s="331"/>
      <c r="G186" s="323"/>
      <c r="H186" s="323"/>
      <c r="I186" s="323"/>
      <c r="J186" s="323"/>
      <c r="K186" s="323"/>
      <c r="L186" s="323"/>
      <c r="M186" s="323"/>
      <c r="N186" s="323"/>
      <c r="O186" s="323"/>
      <c r="P186" s="323"/>
      <c r="Q186" s="323"/>
    </row>
    <row r="187" spans="6:17" ht="25.35" customHeight="1">
      <c r="F187" s="331"/>
      <c r="G187" s="323"/>
      <c r="H187" s="323"/>
      <c r="I187" s="323"/>
      <c r="J187" s="323"/>
      <c r="K187" s="323"/>
      <c r="L187" s="323"/>
      <c r="M187" s="323"/>
      <c r="N187" s="323"/>
      <c r="O187" s="323"/>
      <c r="P187" s="323"/>
      <c r="Q187" s="323"/>
    </row>
    <row r="188" spans="6:17" ht="25.35" customHeight="1">
      <c r="F188" s="331"/>
      <c r="G188" s="323"/>
      <c r="H188" s="323"/>
      <c r="I188" s="323"/>
      <c r="J188" s="323"/>
      <c r="K188" s="323"/>
      <c r="L188" s="323"/>
      <c r="M188" s="323"/>
      <c r="N188" s="323"/>
      <c r="O188" s="323"/>
      <c r="P188" s="323"/>
      <c r="Q188" s="323"/>
    </row>
    <row r="189" spans="6:17" ht="25.35" customHeight="1">
      <c r="F189" s="331"/>
      <c r="G189" s="323"/>
      <c r="H189" s="323"/>
      <c r="I189" s="323"/>
      <c r="J189" s="323"/>
      <c r="K189" s="323"/>
      <c r="L189" s="323"/>
      <c r="M189" s="323"/>
      <c r="N189" s="323"/>
      <c r="O189" s="323"/>
      <c r="P189" s="323"/>
      <c r="Q189" s="323"/>
    </row>
    <row r="190" spans="6:17" ht="25.35" customHeight="1">
      <c r="F190" s="331"/>
      <c r="G190" s="323"/>
      <c r="H190" s="323"/>
      <c r="I190" s="323"/>
      <c r="J190" s="323"/>
      <c r="K190" s="323"/>
      <c r="L190" s="323"/>
      <c r="M190" s="323"/>
      <c r="N190" s="323"/>
      <c r="O190" s="323"/>
      <c r="P190" s="323"/>
      <c r="Q190" s="323"/>
    </row>
    <row r="191" spans="6:17" ht="25.35" customHeight="1">
      <c r="F191" s="331"/>
      <c r="G191" s="323"/>
      <c r="H191" s="323"/>
      <c r="I191" s="323"/>
      <c r="J191" s="323"/>
      <c r="K191" s="323"/>
      <c r="L191" s="323"/>
      <c r="M191" s="323"/>
      <c r="N191" s="323"/>
      <c r="O191" s="323"/>
      <c r="P191" s="323"/>
      <c r="Q191" s="323"/>
    </row>
    <row r="192" spans="6:17" ht="25.35" customHeight="1">
      <c r="F192" s="331"/>
      <c r="G192" s="323"/>
      <c r="H192" s="323"/>
      <c r="I192" s="323"/>
      <c r="J192" s="323"/>
      <c r="K192" s="323"/>
      <c r="L192" s="323"/>
      <c r="M192" s="323"/>
      <c r="N192" s="323"/>
      <c r="O192" s="323"/>
      <c r="P192" s="323"/>
      <c r="Q192" s="323"/>
    </row>
    <row r="193" spans="6:17" ht="25.35" customHeight="1">
      <c r="F193" s="331"/>
      <c r="G193" s="323"/>
      <c r="H193" s="323"/>
      <c r="I193" s="323"/>
      <c r="J193" s="323"/>
      <c r="K193" s="323"/>
      <c r="L193" s="323"/>
      <c r="M193" s="323"/>
      <c r="N193" s="323"/>
      <c r="O193" s="323"/>
      <c r="P193" s="323"/>
      <c r="Q193" s="323"/>
    </row>
    <row r="194" spans="6:17" ht="25.35" customHeight="1">
      <c r="F194" s="331"/>
      <c r="G194" s="323"/>
      <c r="H194" s="323"/>
      <c r="I194" s="323"/>
      <c r="J194" s="323"/>
      <c r="K194" s="323"/>
      <c r="L194" s="323"/>
      <c r="M194" s="323"/>
      <c r="N194" s="323"/>
      <c r="O194" s="323"/>
      <c r="P194" s="323"/>
      <c r="Q194" s="323"/>
    </row>
    <row r="195" spans="6:17" ht="25.35" customHeight="1">
      <c r="F195" s="331"/>
      <c r="G195" s="323"/>
      <c r="H195" s="323"/>
      <c r="I195" s="323"/>
      <c r="J195" s="323"/>
      <c r="K195" s="323"/>
      <c r="L195" s="323"/>
      <c r="M195" s="323"/>
      <c r="N195" s="323"/>
      <c r="O195" s="323"/>
      <c r="P195" s="323"/>
      <c r="Q195" s="323"/>
    </row>
    <row r="196" spans="6:17" ht="25.35" customHeight="1">
      <c r="F196" s="331"/>
      <c r="G196" s="323"/>
      <c r="H196" s="323"/>
      <c r="I196" s="323"/>
      <c r="J196" s="323"/>
      <c r="K196" s="323"/>
      <c r="L196" s="323"/>
      <c r="M196" s="323"/>
      <c r="N196" s="323"/>
      <c r="O196" s="323"/>
      <c r="P196" s="323"/>
      <c r="Q196" s="323"/>
    </row>
    <row r="197" spans="6:17" ht="25.35" customHeight="1">
      <c r="F197" s="331"/>
      <c r="G197" s="323"/>
      <c r="H197" s="323"/>
      <c r="I197" s="323"/>
      <c r="J197" s="323"/>
      <c r="K197" s="323"/>
      <c r="L197" s="323"/>
      <c r="M197" s="323"/>
      <c r="N197" s="323"/>
      <c r="O197" s="323"/>
      <c r="P197" s="323"/>
      <c r="Q197" s="323"/>
    </row>
    <row r="198" spans="6:17" ht="25.35" customHeight="1">
      <c r="F198" s="331"/>
      <c r="G198" s="323"/>
      <c r="H198" s="323"/>
      <c r="I198" s="323"/>
      <c r="J198" s="323"/>
      <c r="K198" s="323"/>
      <c r="L198" s="323"/>
      <c r="M198" s="323"/>
      <c r="N198" s="323"/>
      <c r="O198" s="323"/>
      <c r="P198" s="323"/>
      <c r="Q198" s="323"/>
    </row>
    <row r="199" spans="6:17" ht="25.35" customHeight="1">
      <c r="F199" s="331"/>
      <c r="G199" s="323"/>
      <c r="H199" s="323"/>
      <c r="I199" s="323"/>
      <c r="J199" s="323"/>
      <c r="K199" s="323"/>
      <c r="L199" s="323"/>
      <c r="M199" s="323"/>
      <c r="N199" s="323"/>
      <c r="O199" s="323"/>
      <c r="P199" s="323"/>
      <c r="Q199" s="323"/>
    </row>
    <row r="200" spans="6:17" ht="25.35" customHeight="1">
      <c r="F200" s="331"/>
      <c r="G200" s="323"/>
      <c r="H200" s="323"/>
      <c r="I200" s="323"/>
      <c r="J200" s="323"/>
      <c r="K200" s="323"/>
      <c r="L200" s="323"/>
      <c r="M200" s="323"/>
      <c r="N200" s="323"/>
      <c r="O200" s="323"/>
      <c r="P200" s="323"/>
      <c r="Q200" s="323"/>
    </row>
    <row r="201" spans="6:17" ht="25.35" customHeight="1">
      <c r="F201" s="331"/>
      <c r="G201" s="323"/>
      <c r="H201" s="323"/>
      <c r="I201" s="323"/>
      <c r="J201" s="323"/>
      <c r="K201" s="323"/>
      <c r="L201" s="323"/>
      <c r="M201" s="323"/>
      <c r="N201" s="323"/>
      <c r="O201" s="323"/>
      <c r="P201" s="323"/>
      <c r="Q201" s="323"/>
    </row>
    <row r="202" spans="6:17" ht="25.35" customHeight="1">
      <c r="F202" s="331"/>
      <c r="G202" s="323"/>
      <c r="H202" s="323"/>
      <c r="I202" s="323"/>
      <c r="J202" s="323"/>
      <c r="K202" s="323"/>
      <c r="L202" s="323"/>
      <c r="M202" s="323"/>
      <c r="N202" s="323"/>
      <c r="O202" s="323"/>
      <c r="P202" s="323"/>
      <c r="Q202" s="323"/>
    </row>
    <row r="203" spans="6:17" ht="25.35" customHeight="1">
      <c r="F203" s="331"/>
      <c r="G203" s="323"/>
      <c r="H203" s="323"/>
      <c r="I203" s="323"/>
      <c r="J203" s="323"/>
      <c r="K203" s="323"/>
      <c r="L203" s="323"/>
      <c r="M203" s="323"/>
      <c r="N203" s="323"/>
      <c r="O203" s="323"/>
      <c r="P203" s="323"/>
      <c r="Q203" s="323"/>
    </row>
    <row r="204" spans="6:17" ht="25.35" customHeight="1">
      <c r="F204" s="331"/>
      <c r="G204" s="323"/>
      <c r="H204" s="323"/>
      <c r="I204" s="323"/>
      <c r="J204" s="323"/>
      <c r="K204" s="323"/>
      <c r="L204" s="323"/>
      <c r="M204" s="323"/>
      <c r="N204" s="323"/>
      <c r="O204" s="323"/>
      <c r="P204" s="323"/>
      <c r="Q204" s="323"/>
    </row>
    <row r="205" spans="6:17" ht="25.35" customHeight="1">
      <c r="F205" s="331"/>
      <c r="G205" s="323"/>
      <c r="H205" s="323"/>
      <c r="I205" s="323"/>
      <c r="J205" s="323"/>
      <c r="K205" s="323"/>
      <c r="L205" s="323"/>
      <c r="M205" s="323"/>
      <c r="N205" s="323"/>
      <c r="O205" s="323"/>
      <c r="P205" s="323"/>
      <c r="Q205" s="323"/>
    </row>
    <row r="206" spans="6:17" ht="25.35" customHeight="1">
      <c r="F206" s="331"/>
      <c r="G206" s="323"/>
      <c r="H206" s="323"/>
      <c r="I206" s="323"/>
      <c r="J206" s="323"/>
      <c r="K206" s="323"/>
      <c r="L206" s="323"/>
      <c r="M206" s="323"/>
      <c r="N206" s="323"/>
      <c r="O206" s="323"/>
      <c r="P206" s="323"/>
      <c r="Q206" s="323"/>
    </row>
    <row r="207" spans="6:17" ht="25.35" customHeight="1">
      <c r="F207" s="331"/>
      <c r="G207" s="323"/>
      <c r="H207" s="323"/>
      <c r="I207" s="323"/>
      <c r="J207" s="323"/>
      <c r="K207" s="323"/>
      <c r="L207" s="323"/>
      <c r="M207" s="323"/>
      <c r="N207" s="323"/>
      <c r="O207" s="323"/>
      <c r="P207" s="323"/>
      <c r="Q207" s="323"/>
    </row>
    <row r="208" spans="6:17" ht="25.35" customHeight="1">
      <c r="F208" s="331"/>
      <c r="G208" s="323"/>
      <c r="H208" s="323"/>
      <c r="I208" s="323"/>
      <c r="J208" s="323"/>
      <c r="K208" s="323"/>
      <c r="L208" s="323"/>
      <c r="M208" s="323"/>
      <c r="N208" s="323"/>
      <c r="O208" s="323"/>
      <c r="P208" s="323"/>
      <c r="Q208" s="323"/>
    </row>
    <row r="209" spans="6:17" ht="25.35" customHeight="1">
      <c r="F209" s="331"/>
      <c r="G209" s="323"/>
      <c r="H209" s="323"/>
      <c r="I209" s="323"/>
      <c r="J209" s="323"/>
      <c r="K209" s="323"/>
      <c r="L209" s="323"/>
      <c r="M209" s="323"/>
      <c r="N209" s="323"/>
      <c r="O209" s="323"/>
      <c r="P209" s="323"/>
      <c r="Q209" s="323"/>
    </row>
    <row r="210" spans="6:17" ht="25.35" customHeight="1">
      <c r="F210" s="331"/>
      <c r="G210" s="323"/>
      <c r="H210" s="323"/>
      <c r="I210" s="323"/>
      <c r="J210" s="323"/>
      <c r="K210" s="323"/>
      <c r="L210" s="323"/>
      <c r="M210" s="323"/>
      <c r="N210" s="323"/>
      <c r="O210" s="323"/>
      <c r="P210" s="323"/>
      <c r="Q210" s="323"/>
    </row>
    <row r="211" spans="6:17" ht="25.35" customHeight="1">
      <c r="F211" s="331"/>
      <c r="G211" s="323"/>
      <c r="H211" s="323"/>
      <c r="I211" s="323"/>
      <c r="J211" s="323"/>
      <c r="K211" s="323"/>
      <c r="L211" s="323"/>
      <c r="M211" s="323"/>
      <c r="N211" s="323"/>
      <c r="O211" s="323"/>
      <c r="P211" s="323"/>
      <c r="Q211" s="323"/>
    </row>
    <row r="212" spans="6:17" ht="25.35" customHeight="1">
      <c r="F212" s="331"/>
      <c r="G212" s="323"/>
      <c r="H212" s="323"/>
      <c r="I212" s="323"/>
      <c r="J212" s="323"/>
      <c r="K212" s="323"/>
      <c r="L212" s="323"/>
      <c r="M212" s="323"/>
      <c r="N212" s="323"/>
      <c r="O212" s="323"/>
      <c r="P212" s="323"/>
      <c r="Q212" s="323"/>
    </row>
    <row r="213" spans="6:17" ht="25.35" customHeight="1">
      <c r="F213" s="331"/>
      <c r="G213" s="323"/>
      <c r="H213" s="323"/>
      <c r="I213" s="323"/>
      <c r="J213" s="323"/>
      <c r="K213" s="323"/>
      <c r="L213" s="323"/>
      <c r="M213" s="323"/>
      <c r="N213" s="323"/>
      <c r="O213" s="323"/>
      <c r="P213" s="323"/>
      <c r="Q213" s="323"/>
    </row>
    <row r="214" spans="6:17" ht="25.35" customHeight="1">
      <c r="F214" s="331"/>
      <c r="G214" s="323"/>
      <c r="H214" s="323"/>
      <c r="I214" s="323"/>
      <c r="J214" s="323"/>
      <c r="K214" s="323"/>
      <c r="L214" s="323"/>
      <c r="M214" s="323"/>
      <c r="N214" s="323"/>
      <c r="O214" s="323"/>
      <c r="P214" s="323"/>
      <c r="Q214" s="323"/>
    </row>
    <row r="215" spans="6:17" ht="25.35" customHeight="1">
      <c r="F215" s="331"/>
      <c r="G215" s="323"/>
      <c r="H215" s="323"/>
      <c r="I215" s="323"/>
      <c r="J215" s="323"/>
      <c r="K215" s="323"/>
      <c r="L215" s="323"/>
      <c r="M215" s="323"/>
      <c r="N215" s="323"/>
      <c r="O215" s="323"/>
      <c r="P215" s="323"/>
      <c r="Q215" s="323"/>
    </row>
    <row r="216" spans="6:17" ht="25.35" customHeight="1">
      <c r="F216" s="331"/>
      <c r="G216" s="323"/>
      <c r="H216" s="323"/>
      <c r="I216" s="323"/>
      <c r="J216" s="323"/>
      <c r="K216" s="323"/>
      <c r="L216" s="323"/>
      <c r="M216" s="323"/>
      <c r="N216" s="323"/>
      <c r="O216" s="323"/>
      <c r="P216" s="323"/>
      <c r="Q216" s="323"/>
    </row>
    <row r="217" spans="6:17" ht="25.35" customHeight="1">
      <c r="F217" s="331"/>
      <c r="G217" s="323"/>
      <c r="H217" s="323"/>
      <c r="I217" s="323"/>
      <c r="J217" s="323"/>
      <c r="K217" s="323"/>
      <c r="L217" s="323"/>
      <c r="M217" s="323"/>
      <c r="N217" s="323"/>
      <c r="O217" s="323"/>
      <c r="P217" s="323"/>
      <c r="Q217" s="323"/>
    </row>
    <row r="218" spans="6:17" ht="25.35" customHeight="1">
      <c r="F218" s="331"/>
      <c r="G218" s="323"/>
      <c r="H218" s="323"/>
      <c r="I218" s="323"/>
      <c r="J218" s="323"/>
      <c r="K218" s="323"/>
      <c r="L218" s="323"/>
      <c r="M218" s="323"/>
      <c r="N218" s="323"/>
      <c r="O218" s="323"/>
      <c r="P218" s="323"/>
      <c r="Q218" s="323"/>
    </row>
    <row r="219" spans="6:17" ht="25.35" customHeight="1">
      <c r="F219" s="331"/>
      <c r="G219" s="323"/>
      <c r="H219" s="323"/>
      <c r="I219" s="323"/>
      <c r="J219" s="323"/>
      <c r="K219" s="323"/>
      <c r="L219" s="323"/>
      <c r="M219" s="323"/>
      <c r="N219" s="323"/>
      <c r="O219" s="323"/>
      <c r="P219" s="323"/>
      <c r="Q219" s="323"/>
    </row>
    <row r="220" spans="6:17" ht="25.35" customHeight="1">
      <c r="F220" s="331"/>
      <c r="G220" s="323"/>
      <c r="H220" s="323"/>
      <c r="I220" s="323"/>
      <c r="J220" s="323"/>
      <c r="K220" s="323"/>
      <c r="L220" s="323"/>
      <c r="M220" s="323"/>
      <c r="N220" s="323"/>
      <c r="O220" s="323"/>
      <c r="P220" s="323"/>
      <c r="Q220" s="323"/>
    </row>
    <row r="221" spans="6:17" ht="25.35" customHeight="1">
      <c r="F221" s="331"/>
      <c r="G221" s="323"/>
      <c r="H221" s="323"/>
      <c r="I221" s="323"/>
      <c r="J221" s="323"/>
      <c r="K221" s="323"/>
      <c r="L221" s="323"/>
      <c r="M221" s="323"/>
      <c r="N221" s="323"/>
      <c r="O221" s="323"/>
      <c r="P221" s="323"/>
      <c r="Q221" s="323"/>
    </row>
    <row r="222" spans="6:17" ht="25.35" customHeight="1">
      <c r="F222" s="331"/>
      <c r="G222" s="323"/>
      <c r="H222" s="323"/>
      <c r="I222" s="323"/>
      <c r="J222" s="323"/>
      <c r="K222" s="323"/>
      <c r="L222" s="323"/>
      <c r="M222" s="323"/>
      <c r="N222" s="323"/>
      <c r="O222" s="323"/>
      <c r="P222" s="323"/>
      <c r="Q222" s="323"/>
    </row>
    <row r="223" spans="6:17" ht="25.35" customHeight="1">
      <c r="F223" s="331"/>
      <c r="G223" s="323"/>
      <c r="H223" s="323"/>
      <c r="I223" s="323"/>
      <c r="J223" s="323"/>
      <c r="K223" s="323"/>
      <c r="L223" s="323"/>
      <c r="M223" s="323"/>
      <c r="N223" s="323"/>
      <c r="O223" s="323"/>
      <c r="P223" s="323"/>
      <c r="Q223" s="323"/>
    </row>
    <row r="224" spans="6:17" ht="25.35" customHeight="1">
      <c r="F224" s="331"/>
      <c r="G224" s="323"/>
      <c r="H224" s="323"/>
      <c r="I224" s="323"/>
      <c r="J224" s="323"/>
      <c r="K224" s="323"/>
      <c r="L224" s="323"/>
      <c r="M224" s="323"/>
      <c r="N224" s="323"/>
      <c r="O224" s="323"/>
      <c r="P224" s="323"/>
      <c r="Q224" s="323"/>
    </row>
    <row r="225" spans="6:17" ht="25.35" customHeight="1">
      <c r="F225" s="331"/>
      <c r="G225" s="323"/>
      <c r="H225" s="323"/>
      <c r="I225" s="323"/>
      <c r="J225" s="323"/>
      <c r="K225" s="323"/>
      <c r="L225" s="323"/>
      <c r="M225" s="323"/>
      <c r="N225" s="323"/>
      <c r="O225" s="323"/>
      <c r="P225" s="323"/>
      <c r="Q225" s="323"/>
    </row>
    <row r="226" spans="6:17" ht="25.35" customHeight="1">
      <c r="F226" s="331"/>
      <c r="G226" s="323"/>
      <c r="H226" s="323"/>
      <c r="I226" s="323"/>
      <c r="J226" s="323"/>
      <c r="K226" s="323"/>
      <c r="L226" s="323"/>
      <c r="M226" s="323"/>
      <c r="N226" s="323"/>
      <c r="O226" s="323"/>
      <c r="P226" s="323"/>
      <c r="Q226" s="323"/>
    </row>
    <row r="227" spans="6:17" ht="25.35" customHeight="1">
      <c r="F227" s="331"/>
      <c r="G227" s="323"/>
      <c r="H227" s="323"/>
      <c r="I227" s="323"/>
      <c r="J227" s="323"/>
      <c r="K227" s="323"/>
      <c r="L227" s="323"/>
      <c r="M227" s="323"/>
      <c r="N227" s="323"/>
      <c r="O227" s="323"/>
      <c r="P227" s="323"/>
      <c r="Q227" s="323"/>
    </row>
    <row r="228" spans="6:17" ht="25.35" customHeight="1">
      <c r="F228" s="331"/>
      <c r="G228" s="323"/>
      <c r="H228" s="323"/>
      <c r="I228" s="323"/>
      <c r="J228" s="323"/>
      <c r="K228" s="323"/>
      <c r="L228" s="323"/>
      <c r="M228" s="323"/>
      <c r="N228" s="323"/>
      <c r="O228" s="323"/>
      <c r="P228" s="323"/>
      <c r="Q228" s="323"/>
    </row>
    <row r="229" spans="6:17" ht="25.35" customHeight="1">
      <c r="F229" s="331"/>
      <c r="G229" s="323"/>
      <c r="H229" s="323"/>
      <c r="I229" s="323"/>
      <c r="J229" s="323"/>
      <c r="K229" s="323"/>
      <c r="L229" s="323"/>
      <c r="M229" s="323"/>
      <c r="N229" s="323"/>
      <c r="O229" s="323"/>
      <c r="P229" s="323"/>
      <c r="Q229" s="323"/>
    </row>
    <row r="230" spans="6:17" ht="25.35" customHeight="1">
      <c r="F230" s="331"/>
      <c r="G230" s="323"/>
      <c r="H230" s="323"/>
      <c r="I230" s="323"/>
      <c r="J230" s="323"/>
      <c r="K230" s="323"/>
      <c r="L230" s="323"/>
      <c r="M230" s="323"/>
      <c r="N230" s="323"/>
      <c r="O230" s="323"/>
      <c r="P230" s="323"/>
      <c r="Q230" s="323"/>
    </row>
    <row r="231" spans="6:17" ht="25.35" customHeight="1">
      <c r="F231" s="331"/>
      <c r="G231" s="323"/>
      <c r="H231" s="323"/>
      <c r="I231" s="323"/>
      <c r="J231" s="323"/>
      <c r="K231" s="323"/>
      <c r="L231" s="323"/>
      <c r="M231" s="323"/>
      <c r="N231" s="323"/>
      <c r="O231" s="323"/>
      <c r="P231" s="323"/>
      <c r="Q231" s="323"/>
    </row>
    <row r="232" spans="6:17" ht="25.35" customHeight="1">
      <c r="F232" s="331"/>
      <c r="G232" s="323"/>
      <c r="H232" s="323"/>
      <c r="I232" s="323"/>
      <c r="J232" s="323"/>
      <c r="K232" s="323"/>
      <c r="L232" s="323"/>
      <c r="M232" s="323"/>
      <c r="N232" s="323"/>
      <c r="O232" s="323"/>
      <c r="P232" s="323"/>
      <c r="Q232" s="323"/>
    </row>
    <row r="233" spans="6:17" ht="25.35" customHeight="1">
      <c r="F233" s="331"/>
      <c r="G233" s="323"/>
      <c r="H233" s="323"/>
      <c r="I233" s="323"/>
      <c r="J233" s="323"/>
      <c r="K233" s="323"/>
      <c r="L233" s="323"/>
      <c r="M233" s="323"/>
      <c r="N233" s="323"/>
      <c r="O233" s="323"/>
      <c r="P233" s="323"/>
      <c r="Q233" s="323"/>
    </row>
    <row r="234" spans="6:17" ht="25.35" customHeight="1">
      <c r="F234" s="331"/>
      <c r="G234" s="323"/>
      <c r="H234" s="323"/>
      <c r="I234" s="323"/>
      <c r="J234" s="323"/>
      <c r="K234" s="323"/>
      <c r="L234" s="323"/>
      <c r="M234" s="323"/>
      <c r="N234" s="323"/>
      <c r="O234" s="323"/>
      <c r="P234" s="323"/>
      <c r="Q234" s="323"/>
    </row>
    <row r="235" spans="6:17" ht="25.35" customHeight="1">
      <c r="F235" s="331"/>
      <c r="G235" s="323"/>
      <c r="H235" s="323"/>
      <c r="I235" s="323"/>
      <c r="J235" s="323"/>
      <c r="K235" s="323"/>
      <c r="L235" s="323"/>
      <c r="M235" s="323"/>
      <c r="N235" s="323"/>
      <c r="O235" s="323"/>
      <c r="P235" s="323"/>
      <c r="Q235" s="323"/>
    </row>
    <row r="236" spans="6:17" ht="25.35" customHeight="1">
      <c r="F236" s="331"/>
      <c r="G236" s="323"/>
      <c r="H236" s="323"/>
      <c r="I236" s="323"/>
      <c r="J236" s="323"/>
      <c r="K236" s="323"/>
      <c r="L236" s="323"/>
      <c r="M236" s="323"/>
      <c r="N236" s="323"/>
      <c r="O236" s="323"/>
      <c r="P236" s="323"/>
      <c r="Q236" s="323"/>
    </row>
    <row r="237" spans="6:17" ht="25.35" customHeight="1">
      <c r="F237" s="331"/>
      <c r="G237" s="323"/>
      <c r="H237" s="323"/>
      <c r="I237" s="323"/>
      <c r="J237" s="323"/>
      <c r="K237" s="323"/>
      <c r="L237" s="323"/>
      <c r="M237" s="323"/>
      <c r="N237" s="323"/>
      <c r="O237" s="323"/>
      <c r="P237" s="323"/>
      <c r="Q237" s="323"/>
    </row>
    <row r="238" spans="6:17" ht="25.35" customHeight="1">
      <c r="F238" s="331"/>
      <c r="G238" s="323"/>
      <c r="H238" s="323"/>
      <c r="I238" s="323"/>
      <c r="J238" s="323"/>
      <c r="K238" s="323"/>
      <c r="L238" s="323"/>
      <c r="M238" s="323"/>
      <c r="N238" s="323"/>
      <c r="O238" s="323"/>
      <c r="P238" s="323"/>
      <c r="Q238" s="323"/>
    </row>
    <row r="239" spans="6:17" ht="25.35" customHeight="1">
      <c r="F239" s="331"/>
      <c r="G239" s="323"/>
      <c r="H239" s="323"/>
      <c r="I239" s="323"/>
      <c r="J239" s="323"/>
      <c r="K239" s="323"/>
      <c r="L239" s="323"/>
      <c r="M239" s="323"/>
      <c r="N239" s="323"/>
      <c r="O239" s="323"/>
      <c r="P239" s="323"/>
      <c r="Q239" s="323"/>
    </row>
    <row r="240" spans="6:17" ht="25.35" customHeight="1">
      <c r="F240" s="331"/>
      <c r="G240" s="323"/>
      <c r="H240" s="323"/>
      <c r="I240" s="323"/>
      <c r="J240" s="323"/>
      <c r="K240" s="323"/>
      <c r="L240" s="323"/>
      <c r="M240" s="323"/>
      <c r="N240" s="323"/>
      <c r="O240" s="323"/>
      <c r="P240" s="323"/>
      <c r="Q240" s="323"/>
    </row>
    <row r="241" spans="6:17" ht="25.35" customHeight="1">
      <c r="F241" s="331"/>
      <c r="G241" s="323"/>
      <c r="H241" s="323"/>
      <c r="I241" s="323"/>
      <c r="J241" s="323"/>
      <c r="K241" s="323"/>
      <c r="L241" s="323"/>
      <c r="M241" s="323"/>
      <c r="N241" s="323"/>
      <c r="O241" s="323"/>
      <c r="P241" s="323"/>
      <c r="Q241" s="323"/>
    </row>
    <row r="242" spans="6:17" ht="25.35" customHeight="1">
      <c r="F242" s="331"/>
      <c r="G242" s="323"/>
      <c r="H242" s="323"/>
      <c r="I242" s="323"/>
      <c r="J242" s="323"/>
      <c r="K242" s="323"/>
      <c r="L242" s="323"/>
      <c r="M242" s="323"/>
      <c r="N242" s="323"/>
      <c r="O242" s="323"/>
      <c r="P242" s="323"/>
      <c r="Q242" s="323"/>
    </row>
    <row r="243" spans="6:17" ht="25.35" customHeight="1">
      <c r="F243" s="331"/>
      <c r="G243" s="323"/>
      <c r="H243" s="323"/>
      <c r="I243" s="323"/>
      <c r="J243" s="323"/>
      <c r="K243" s="323"/>
      <c r="L243" s="323"/>
      <c r="M243" s="323"/>
      <c r="N243" s="323"/>
      <c r="O243" s="323"/>
      <c r="P243" s="323"/>
      <c r="Q243" s="323"/>
    </row>
    <row r="244" spans="6:17" ht="25.35" customHeight="1">
      <c r="F244" s="331"/>
      <c r="G244" s="323"/>
      <c r="H244" s="323"/>
      <c r="I244" s="323"/>
      <c r="J244" s="323"/>
      <c r="K244" s="323"/>
      <c r="L244" s="323"/>
      <c r="M244" s="323"/>
      <c r="N244" s="323"/>
      <c r="O244" s="323"/>
      <c r="P244" s="323"/>
      <c r="Q244" s="323"/>
    </row>
    <row r="245" spans="6:17" ht="25.35" customHeight="1">
      <c r="F245" s="331"/>
      <c r="G245" s="323"/>
      <c r="H245" s="323"/>
      <c r="I245" s="323"/>
      <c r="J245" s="323"/>
      <c r="K245" s="323"/>
      <c r="L245" s="323"/>
      <c r="M245" s="323"/>
      <c r="N245" s="323"/>
      <c r="O245" s="323"/>
      <c r="P245" s="323"/>
      <c r="Q245" s="323"/>
    </row>
    <row r="246" spans="6:17" ht="25.35" customHeight="1">
      <c r="F246" s="331"/>
      <c r="G246" s="323"/>
      <c r="H246" s="323"/>
      <c r="I246" s="323"/>
      <c r="J246" s="323"/>
      <c r="K246" s="323"/>
      <c r="L246" s="323"/>
      <c r="M246" s="323"/>
      <c r="N246" s="323"/>
      <c r="O246" s="323"/>
      <c r="P246" s="323"/>
      <c r="Q246" s="323"/>
    </row>
    <row r="247" spans="6:17" ht="25.35" customHeight="1">
      <c r="F247" s="331"/>
      <c r="G247" s="323"/>
      <c r="H247" s="323"/>
      <c r="I247" s="323"/>
      <c r="J247" s="323"/>
      <c r="K247" s="323"/>
      <c r="L247" s="323"/>
      <c r="M247" s="323"/>
      <c r="N247" s="323"/>
      <c r="O247" s="323"/>
      <c r="P247" s="323"/>
      <c r="Q247" s="323"/>
    </row>
    <row r="248" spans="6:17" ht="25.35" customHeight="1">
      <c r="F248" s="331"/>
      <c r="G248" s="323"/>
      <c r="H248" s="323"/>
      <c r="I248" s="323"/>
      <c r="J248" s="323"/>
      <c r="K248" s="323"/>
      <c r="L248" s="323"/>
      <c r="M248" s="323"/>
      <c r="N248" s="323"/>
      <c r="O248" s="323"/>
      <c r="P248" s="323"/>
      <c r="Q248" s="323"/>
    </row>
    <row r="249" spans="6:17" ht="25.35" customHeight="1">
      <c r="F249" s="331"/>
      <c r="G249" s="323"/>
      <c r="H249" s="323"/>
      <c r="I249" s="323"/>
      <c r="J249" s="323"/>
      <c r="K249" s="323"/>
      <c r="L249" s="323"/>
      <c r="M249" s="323"/>
      <c r="N249" s="323"/>
      <c r="O249" s="323"/>
      <c r="P249" s="323"/>
      <c r="Q249" s="323"/>
    </row>
    <row r="250" spans="6:17" ht="25.35" customHeight="1">
      <c r="F250" s="331"/>
      <c r="G250" s="323"/>
      <c r="H250" s="323"/>
      <c r="I250" s="323"/>
      <c r="J250" s="323"/>
      <c r="K250" s="323"/>
      <c r="L250" s="323"/>
      <c r="M250" s="323"/>
      <c r="N250" s="323"/>
      <c r="O250" s="323"/>
      <c r="P250" s="323"/>
      <c r="Q250" s="323"/>
    </row>
    <row r="251" spans="6:17" ht="25.35" customHeight="1">
      <c r="F251" s="331"/>
      <c r="G251" s="323"/>
      <c r="H251" s="323"/>
      <c r="I251" s="323"/>
      <c r="J251" s="323"/>
      <c r="K251" s="323"/>
      <c r="L251" s="323"/>
      <c r="M251" s="323"/>
      <c r="N251" s="323"/>
      <c r="O251" s="323"/>
      <c r="P251" s="323"/>
      <c r="Q251" s="323"/>
    </row>
    <row r="252" spans="6:17" ht="25.35" customHeight="1">
      <c r="F252" s="331"/>
      <c r="G252" s="323"/>
      <c r="H252" s="323"/>
      <c r="I252" s="323"/>
      <c r="J252" s="323"/>
      <c r="K252" s="323"/>
      <c r="L252" s="323"/>
      <c r="M252" s="323"/>
      <c r="N252" s="323"/>
      <c r="O252" s="323"/>
      <c r="P252" s="323"/>
      <c r="Q252" s="323"/>
    </row>
    <row r="253" spans="6:17" ht="25.35" customHeight="1">
      <c r="F253" s="331"/>
      <c r="G253" s="323"/>
      <c r="H253" s="323"/>
      <c r="I253" s="323"/>
      <c r="J253" s="323"/>
      <c r="K253" s="323"/>
      <c r="L253" s="323"/>
      <c r="M253" s="323"/>
      <c r="N253" s="323"/>
      <c r="O253" s="323"/>
      <c r="P253" s="323"/>
      <c r="Q253" s="323"/>
    </row>
    <row r="254" spans="6:17" ht="25.35" customHeight="1">
      <c r="F254" s="331"/>
      <c r="G254" s="323"/>
      <c r="H254" s="323"/>
      <c r="I254" s="323"/>
      <c r="J254" s="323"/>
      <c r="K254" s="323"/>
      <c r="L254" s="323"/>
      <c r="M254" s="323"/>
      <c r="N254" s="323"/>
      <c r="O254" s="323"/>
      <c r="P254" s="323"/>
      <c r="Q254" s="323"/>
    </row>
    <row r="255" spans="6:17" ht="25.35" customHeight="1">
      <c r="F255" s="331"/>
      <c r="G255" s="323"/>
      <c r="H255" s="323"/>
      <c r="I255" s="323"/>
      <c r="J255" s="323"/>
      <c r="K255" s="323"/>
      <c r="L255" s="323"/>
      <c r="M255" s="323"/>
      <c r="N255" s="323"/>
      <c r="O255" s="323"/>
      <c r="P255" s="323"/>
      <c r="Q255" s="323"/>
    </row>
    <row r="256" spans="6:17" ht="25.35" customHeight="1">
      <c r="F256" s="331"/>
      <c r="G256" s="323"/>
      <c r="H256" s="323"/>
      <c r="I256" s="323"/>
      <c r="J256" s="323"/>
      <c r="K256" s="323"/>
      <c r="L256" s="323"/>
      <c r="M256" s="323"/>
      <c r="N256" s="323"/>
      <c r="O256" s="323"/>
      <c r="P256" s="323"/>
      <c r="Q256" s="323"/>
    </row>
    <row r="257" spans="6:17" ht="25.35" customHeight="1">
      <c r="F257" s="331"/>
      <c r="G257" s="323"/>
      <c r="H257" s="323"/>
      <c r="I257" s="323"/>
      <c r="J257" s="323"/>
      <c r="K257" s="323"/>
      <c r="L257" s="323"/>
      <c r="M257" s="323"/>
      <c r="N257" s="323"/>
      <c r="O257" s="323"/>
      <c r="P257" s="323"/>
      <c r="Q257" s="323"/>
    </row>
    <row r="258" spans="6:17" ht="25.35" customHeight="1">
      <c r="F258" s="331"/>
      <c r="G258" s="323"/>
      <c r="H258" s="323"/>
      <c r="I258" s="323"/>
      <c r="J258" s="323"/>
      <c r="K258" s="323"/>
      <c r="L258" s="323"/>
      <c r="M258" s="323"/>
      <c r="N258" s="323"/>
      <c r="O258" s="323"/>
      <c r="P258" s="323"/>
      <c r="Q258" s="323"/>
    </row>
    <row r="259" spans="6:17" ht="25.35" customHeight="1">
      <c r="F259" s="331"/>
      <c r="G259" s="323"/>
      <c r="H259" s="323"/>
      <c r="I259" s="323"/>
      <c r="J259" s="323"/>
      <c r="K259" s="323"/>
      <c r="L259" s="323"/>
      <c r="M259" s="323"/>
      <c r="N259" s="323"/>
      <c r="O259" s="323"/>
      <c r="P259" s="323"/>
      <c r="Q259" s="323"/>
    </row>
    <row r="260" spans="6:17" ht="25.35" customHeight="1">
      <c r="F260" s="331"/>
      <c r="G260" s="323"/>
      <c r="H260" s="323"/>
      <c r="I260" s="323"/>
      <c r="J260" s="323"/>
      <c r="K260" s="323"/>
      <c r="L260" s="323"/>
      <c r="M260" s="323"/>
      <c r="N260" s="323"/>
      <c r="O260" s="323"/>
      <c r="P260" s="323"/>
      <c r="Q260" s="323"/>
    </row>
    <row r="261" spans="6:17" ht="25.35" customHeight="1">
      <c r="F261" s="331"/>
      <c r="G261" s="323"/>
      <c r="H261" s="323"/>
      <c r="I261" s="323"/>
      <c r="J261" s="323"/>
      <c r="K261" s="323"/>
      <c r="L261" s="323"/>
      <c r="M261" s="323"/>
      <c r="N261" s="323"/>
      <c r="O261" s="323"/>
      <c r="P261" s="323"/>
      <c r="Q261" s="323"/>
    </row>
    <row r="262" spans="6:17" ht="25.35" customHeight="1">
      <c r="F262" s="331"/>
      <c r="G262" s="323"/>
      <c r="H262" s="323"/>
      <c r="I262" s="323"/>
      <c r="J262" s="323"/>
      <c r="K262" s="323"/>
      <c r="L262" s="323"/>
      <c r="M262" s="323"/>
      <c r="N262" s="323"/>
      <c r="O262" s="323"/>
      <c r="P262" s="323"/>
      <c r="Q262" s="323"/>
    </row>
    <row r="263" spans="6:17" ht="25.35" customHeight="1">
      <c r="F263" s="331"/>
      <c r="G263" s="323"/>
      <c r="H263" s="323"/>
      <c r="I263" s="323"/>
      <c r="J263" s="323"/>
      <c r="K263" s="323"/>
      <c r="L263" s="323"/>
      <c r="M263" s="323"/>
      <c r="N263" s="323"/>
      <c r="O263" s="323"/>
      <c r="P263" s="323"/>
      <c r="Q263" s="323"/>
    </row>
    <row r="264" spans="6:17" ht="25.35" customHeight="1">
      <c r="F264" s="331"/>
      <c r="G264" s="323"/>
      <c r="H264" s="323"/>
      <c r="I264" s="323"/>
      <c r="J264" s="323"/>
      <c r="K264" s="323"/>
      <c r="L264" s="323"/>
      <c r="M264" s="323"/>
      <c r="N264" s="323"/>
      <c r="O264" s="323"/>
      <c r="P264" s="323"/>
      <c r="Q264" s="323"/>
    </row>
    <row r="265" spans="6:17" ht="25.35" customHeight="1">
      <c r="F265" s="331"/>
      <c r="G265" s="323"/>
      <c r="H265" s="323"/>
      <c r="I265" s="323"/>
      <c r="J265" s="323"/>
      <c r="K265" s="323"/>
      <c r="L265" s="323"/>
      <c r="M265" s="323"/>
      <c r="N265" s="323"/>
      <c r="O265" s="323"/>
      <c r="P265" s="323"/>
      <c r="Q265" s="323"/>
    </row>
    <row r="266" spans="6:17" ht="25.35" customHeight="1">
      <c r="F266" s="331"/>
      <c r="G266" s="323"/>
      <c r="H266" s="323"/>
      <c r="I266" s="323"/>
      <c r="J266" s="323"/>
      <c r="K266" s="323"/>
      <c r="L266" s="323"/>
      <c r="M266" s="323"/>
      <c r="N266" s="323"/>
      <c r="O266" s="323"/>
      <c r="P266" s="323"/>
      <c r="Q266" s="323"/>
    </row>
    <row r="267" spans="6:17" ht="25.35" customHeight="1">
      <c r="F267" s="331"/>
      <c r="G267" s="323"/>
      <c r="H267" s="323"/>
      <c r="I267" s="323"/>
      <c r="J267" s="323"/>
      <c r="K267" s="323"/>
      <c r="L267" s="323"/>
      <c r="M267" s="323"/>
      <c r="N267" s="323"/>
      <c r="O267" s="323"/>
      <c r="P267" s="323"/>
      <c r="Q267" s="323"/>
    </row>
    <row r="268" spans="6:17" ht="25.35" customHeight="1">
      <c r="F268" s="331"/>
      <c r="G268" s="323"/>
      <c r="H268" s="323"/>
      <c r="I268" s="323"/>
      <c r="J268" s="323"/>
      <c r="K268" s="323"/>
      <c r="L268" s="323"/>
      <c r="M268" s="323"/>
      <c r="N268" s="323"/>
      <c r="O268" s="323"/>
      <c r="P268" s="323"/>
      <c r="Q268" s="323"/>
    </row>
    <row r="269" spans="6:17" ht="25.35" customHeight="1">
      <c r="F269" s="331"/>
      <c r="G269" s="323"/>
      <c r="H269" s="323"/>
      <c r="I269" s="323"/>
      <c r="J269" s="323"/>
      <c r="K269" s="323"/>
      <c r="L269" s="323"/>
      <c r="M269" s="323"/>
      <c r="N269" s="323"/>
      <c r="O269" s="323"/>
      <c r="P269" s="323"/>
      <c r="Q269" s="323"/>
    </row>
    <row r="270" spans="6:17" ht="25.35" customHeight="1">
      <c r="F270" s="331"/>
      <c r="G270" s="323"/>
      <c r="H270" s="323"/>
      <c r="I270" s="323"/>
      <c r="J270" s="323"/>
      <c r="K270" s="323"/>
      <c r="L270" s="323"/>
      <c r="M270" s="323"/>
      <c r="N270" s="323"/>
      <c r="O270" s="323"/>
      <c r="P270" s="323"/>
      <c r="Q270" s="323"/>
    </row>
    <row r="271" spans="6:17" ht="25.35" customHeight="1">
      <c r="F271" s="331"/>
      <c r="G271" s="323"/>
      <c r="H271" s="323"/>
      <c r="I271" s="323"/>
      <c r="J271" s="323"/>
      <c r="K271" s="323"/>
      <c r="L271" s="323"/>
      <c r="M271" s="323"/>
      <c r="N271" s="323"/>
      <c r="O271" s="323"/>
      <c r="P271" s="323"/>
      <c r="Q271" s="323"/>
    </row>
    <row r="272" spans="6:17" ht="25.35" customHeight="1">
      <c r="F272" s="331"/>
      <c r="G272" s="323"/>
      <c r="H272" s="323"/>
      <c r="I272" s="323"/>
      <c r="J272" s="323"/>
      <c r="K272" s="323"/>
      <c r="L272" s="323"/>
      <c r="M272" s="323"/>
      <c r="N272" s="323"/>
      <c r="O272" s="323"/>
      <c r="P272" s="323"/>
      <c r="Q272" s="323"/>
    </row>
    <row r="273" spans="6:17" ht="25.35" customHeight="1">
      <c r="F273" s="331"/>
      <c r="G273" s="323"/>
      <c r="H273" s="323"/>
      <c r="I273" s="323"/>
      <c r="J273" s="323"/>
      <c r="K273" s="323"/>
      <c r="L273" s="323"/>
      <c r="M273" s="323"/>
      <c r="N273" s="323"/>
      <c r="O273" s="323"/>
      <c r="P273" s="323"/>
      <c r="Q273" s="323"/>
    </row>
    <row r="274" spans="6:17" ht="25.35" customHeight="1">
      <c r="F274" s="331"/>
      <c r="G274" s="323"/>
      <c r="H274" s="323"/>
      <c r="I274" s="323"/>
      <c r="J274" s="323"/>
      <c r="K274" s="323"/>
      <c r="L274" s="323"/>
      <c r="M274" s="323"/>
      <c r="N274" s="323"/>
      <c r="O274" s="323"/>
      <c r="P274" s="323"/>
      <c r="Q274" s="323"/>
    </row>
    <row r="275" spans="6:17" ht="25.35" customHeight="1">
      <c r="F275" s="331"/>
      <c r="G275" s="323"/>
      <c r="H275" s="323"/>
      <c r="I275" s="323"/>
      <c r="J275" s="323"/>
      <c r="K275" s="323"/>
      <c r="L275" s="323"/>
      <c r="M275" s="323"/>
      <c r="N275" s="323"/>
      <c r="O275" s="323"/>
      <c r="P275" s="323"/>
      <c r="Q275" s="323"/>
    </row>
    <row r="276" spans="6:17" ht="25.35" customHeight="1">
      <c r="F276" s="331"/>
      <c r="G276" s="323"/>
      <c r="H276" s="323"/>
      <c r="I276" s="323"/>
      <c r="J276" s="323"/>
      <c r="K276" s="323"/>
      <c r="L276" s="323"/>
      <c r="M276" s="323"/>
      <c r="N276" s="323"/>
      <c r="O276" s="323"/>
      <c r="P276" s="323"/>
      <c r="Q276" s="323"/>
    </row>
    <row r="277" spans="6:17" ht="25.35" customHeight="1">
      <c r="F277" s="331"/>
      <c r="G277" s="323"/>
      <c r="H277" s="323"/>
      <c r="I277" s="323"/>
      <c r="J277" s="323"/>
      <c r="K277" s="323"/>
      <c r="L277" s="323"/>
      <c r="M277" s="323"/>
      <c r="N277" s="323"/>
      <c r="O277" s="323"/>
      <c r="P277" s="323"/>
      <c r="Q277" s="323"/>
    </row>
    <row r="278" spans="6:17" ht="25.35" customHeight="1">
      <c r="F278" s="331"/>
      <c r="G278" s="323"/>
      <c r="H278" s="323"/>
      <c r="I278" s="323"/>
      <c r="J278" s="323"/>
      <c r="K278" s="323"/>
      <c r="L278" s="323"/>
      <c r="M278" s="323"/>
      <c r="N278" s="323"/>
      <c r="O278" s="323"/>
      <c r="P278" s="323"/>
      <c r="Q278" s="323"/>
    </row>
    <row r="279" spans="6:17" ht="25.35" customHeight="1">
      <c r="F279" s="331"/>
      <c r="G279" s="323"/>
      <c r="H279" s="323"/>
      <c r="I279" s="323"/>
      <c r="J279" s="323"/>
      <c r="K279" s="323"/>
      <c r="L279" s="323"/>
      <c r="M279" s="323"/>
      <c r="N279" s="323"/>
      <c r="O279" s="323"/>
      <c r="P279" s="323"/>
      <c r="Q279" s="323"/>
    </row>
    <row r="280" spans="6:17" ht="25.35" customHeight="1">
      <c r="F280" s="331"/>
      <c r="G280" s="323"/>
      <c r="H280" s="323"/>
      <c r="I280" s="323"/>
      <c r="J280" s="323"/>
      <c r="K280" s="323"/>
      <c r="L280" s="323"/>
      <c r="M280" s="323"/>
      <c r="N280" s="323"/>
      <c r="O280" s="323"/>
      <c r="P280" s="323"/>
      <c r="Q280" s="323"/>
    </row>
    <row r="281" spans="6:17" ht="25.35" customHeight="1">
      <c r="F281" s="331"/>
      <c r="G281" s="323"/>
      <c r="H281" s="323"/>
      <c r="I281" s="323"/>
      <c r="J281" s="323"/>
      <c r="K281" s="323"/>
      <c r="L281" s="323"/>
      <c r="M281" s="323"/>
      <c r="N281" s="323"/>
      <c r="O281" s="323"/>
      <c r="P281" s="323"/>
      <c r="Q281" s="323"/>
    </row>
    <row r="282" spans="6:17" ht="25.35" customHeight="1">
      <c r="F282" s="331"/>
      <c r="G282" s="323"/>
      <c r="H282" s="323"/>
      <c r="I282" s="323"/>
      <c r="J282" s="323"/>
      <c r="K282" s="323"/>
      <c r="L282" s="323"/>
      <c r="M282" s="323"/>
      <c r="N282" s="323"/>
      <c r="O282" s="323"/>
      <c r="P282" s="323"/>
      <c r="Q282" s="323"/>
    </row>
    <row r="283" spans="6:17" ht="25.35" customHeight="1">
      <c r="F283" s="331"/>
      <c r="G283" s="323"/>
      <c r="H283" s="323"/>
      <c r="I283" s="323"/>
      <c r="J283" s="323"/>
      <c r="K283" s="323"/>
      <c r="L283" s="323"/>
      <c r="M283" s="323"/>
      <c r="N283" s="323"/>
      <c r="O283" s="323"/>
      <c r="P283" s="323"/>
      <c r="Q283" s="323"/>
    </row>
    <row r="284" spans="6:17" ht="25.35" customHeight="1">
      <c r="F284" s="331"/>
      <c r="G284" s="323"/>
      <c r="H284" s="323"/>
      <c r="I284" s="323"/>
      <c r="J284" s="323"/>
      <c r="K284" s="323"/>
      <c r="L284" s="323"/>
      <c r="M284" s="323"/>
      <c r="N284" s="323"/>
      <c r="O284" s="323"/>
      <c r="P284" s="323"/>
      <c r="Q284" s="323"/>
    </row>
    <row r="285" spans="6:17" ht="25.35" customHeight="1">
      <c r="F285" s="331"/>
      <c r="G285" s="323"/>
      <c r="H285" s="323"/>
      <c r="I285" s="323"/>
      <c r="J285" s="323"/>
      <c r="K285" s="323"/>
      <c r="L285" s="323"/>
      <c r="M285" s="323"/>
      <c r="N285" s="323"/>
      <c r="O285" s="323"/>
      <c r="P285" s="323"/>
      <c r="Q285" s="323"/>
    </row>
    <row r="286" spans="6:17" ht="25.35" customHeight="1">
      <c r="F286" s="331"/>
      <c r="G286" s="323"/>
      <c r="H286" s="323"/>
      <c r="I286" s="323"/>
      <c r="J286" s="323"/>
      <c r="K286" s="323"/>
      <c r="L286" s="323"/>
      <c r="M286" s="323"/>
      <c r="N286" s="323"/>
      <c r="O286" s="323"/>
      <c r="P286" s="323"/>
      <c r="Q286" s="323"/>
    </row>
    <row r="287" spans="6:17" ht="25.35" customHeight="1">
      <c r="F287" s="331"/>
      <c r="G287" s="323"/>
      <c r="H287" s="323"/>
      <c r="I287" s="323"/>
      <c r="J287" s="323"/>
      <c r="K287" s="323"/>
      <c r="L287" s="323"/>
      <c r="M287" s="323"/>
      <c r="N287" s="323"/>
      <c r="O287" s="323"/>
      <c r="P287" s="323"/>
      <c r="Q287" s="323"/>
    </row>
    <row r="288" spans="6:17" ht="25.35" customHeight="1">
      <c r="F288" s="331"/>
      <c r="G288" s="323"/>
      <c r="H288" s="323"/>
      <c r="I288" s="323"/>
      <c r="J288" s="323"/>
      <c r="K288" s="323"/>
      <c r="L288" s="323"/>
      <c r="M288" s="323"/>
      <c r="N288" s="323"/>
      <c r="O288" s="323"/>
      <c r="P288" s="323"/>
      <c r="Q288" s="323"/>
    </row>
    <row r="289" spans="6:17" ht="25.35" customHeight="1">
      <c r="F289" s="331"/>
      <c r="G289" s="323"/>
      <c r="H289" s="323"/>
      <c r="I289" s="323"/>
      <c r="J289" s="323"/>
      <c r="K289" s="323"/>
      <c r="L289" s="323"/>
      <c r="M289" s="323"/>
      <c r="N289" s="323"/>
      <c r="O289" s="323"/>
      <c r="P289" s="323"/>
      <c r="Q289" s="323"/>
    </row>
    <row r="290" spans="6:17" ht="25.35" customHeight="1">
      <c r="F290" s="331"/>
      <c r="G290" s="323"/>
      <c r="H290" s="323"/>
      <c r="I290" s="323"/>
      <c r="J290" s="323"/>
      <c r="K290" s="323"/>
      <c r="L290" s="323"/>
      <c r="M290" s="323"/>
      <c r="N290" s="323"/>
      <c r="O290" s="323"/>
      <c r="P290" s="323"/>
      <c r="Q290" s="323"/>
    </row>
    <row r="291" spans="6:17" ht="25.35" customHeight="1">
      <c r="F291" s="331"/>
      <c r="G291" s="323"/>
      <c r="H291" s="323"/>
      <c r="I291" s="323"/>
      <c r="J291" s="323"/>
      <c r="K291" s="323"/>
      <c r="L291" s="323"/>
      <c r="M291" s="323"/>
      <c r="N291" s="323"/>
      <c r="O291" s="323"/>
      <c r="P291" s="323"/>
      <c r="Q291" s="323"/>
    </row>
    <row r="292" spans="6:17" ht="25.35" customHeight="1">
      <c r="F292" s="331"/>
      <c r="G292" s="323"/>
      <c r="H292" s="323"/>
      <c r="I292" s="323"/>
      <c r="J292" s="323"/>
      <c r="K292" s="323"/>
      <c r="L292" s="323"/>
      <c r="M292" s="323"/>
      <c r="N292" s="323"/>
      <c r="O292" s="323"/>
      <c r="P292" s="323"/>
      <c r="Q292" s="323"/>
    </row>
    <row r="293" spans="6:17" ht="25.35" customHeight="1">
      <c r="F293" s="331"/>
      <c r="G293" s="323"/>
      <c r="H293" s="323"/>
      <c r="I293" s="323"/>
      <c r="J293" s="323"/>
      <c r="K293" s="323"/>
      <c r="L293" s="323"/>
      <c r="M293" s="323"/>
      <c r="N293" s="323"/>
      <c r="O293" s="323"/>
      <c r="P293" s="323"/>
      <c r="Q293" s="323"/>
    </row>
    <row r="294" spans="6:17" ht="25.35" customHeight="1">
      <c r="F294" s="331"/>
      <c r="G294" s="323"/>
      <c r="H294" s="323"/>
      <c r="I294" s="323"/>
      <c r="J294" s="323"/>
      <c r="K294" s="323"/>
      <c r="L294" s="323"/>
      <c r="M294" s="323"/>
      <c r="N294" s="323"/>
      <c r="O294" s="323"/>
      <c r="P294" s="323"/>
      <c r="Q294" s="323"/>
    </row>
    <row r="295" spans="6:17" ht="25.35" customHeight="1">
      <c r="F295" s="331"/>
      <c r="G295" s="323"/>
      <c r="H295" s="323"/>
      <c r="I295" s="323"/>
      <c r="J295" s="323"/>
      <c r="K295" s="323"/>
      <c r="L295" s="323"/>
      <c r="M295" s="323"/>
      <c r="N295" s="323"/>
      <c r="O295" s="323"/>
      <c r="P295" s="323"/>
      <c r="Q295" s="323"/>
    </row>
    <row r="296" spans="6:17" ht="25.35" customHeight="1">
      <c r="F296" s="331"/>
      <c r="G296" s="323"/>
      <c r="H296" s="323"/>
      <c r="I296" s="323"/>
      <c r="J296" s="323"/>
      <c r="K296" s="323"/>
      <c r="L296" s="323"/>
      <c r="M296" s="323"/>
      <c r="N296" s="323"/>
      <c r="O296" s="323"/>
      <c r="P296" s="323"/>
      <c r="Q296" s="323"/>
    </row>
    <row r="297" spans="6:17" ht="25.35" customHeight="1">
      <c r="F297" s="331"/>
      <c r="G297" s="323"/>
      <c r="H297" s="323"/>
      <c r="I297" s="323"/>
      <c r="J297" s="323"/>
      <c r="K297" s="323"/>
      <c r="L297" s="323"/>
      <c r="M297" s="323"/>
      <c r="N297" s="323"/>
      <c r="O297" s="323"/>
      <c r="P297" s="323"/>
      <c r="Q297" s="323"/>
    </row>
    <row r="298" spans="6:17" ht="25.35" customHeight="1">
      <c r="F298" s="331"/>
      <c r="G298" s="323"/>
      <c r="H298" s="323"/>
      <c r="I298" s="323"/>
      <c r="J298" s="323"/>
      <c r="K298" s="323"/>
      <c r="L298" s="323"/>
      <c r="M298" s="323"/>
      <c r="N298" s="323"/>
      <c r="O298" s="323"/>
      <c r="P298" s="323"/>
      <c r="Q298" s="323"/>
    </row>
    <row r="299" spans="6:17" ht="25.35" customHeight="1">
      <c r="F299" s="331"/>
      <c r="G299" s="323"/>
      <c r="H299" s="323"/>
      <c r="I299" s="323"/>
      <c r="J299" s="323"/>
      <c r="K299" s="323"/>
      <c r="L299" s="323"/>
      <c r="M299" s="323"/>
      <c r="N299" s="323"/>
      <c r="O299" s="323"/>
      <c r="P299" s="323"/>
      <c r="Q299" s="323"/>
    </row>
    <row r="300" spans="6:17" ht="25.35" customHeight="1">
      <c r="F300" s="331"/>
      <c r="G300" s="323"/>
      <c r="H300" s="323"/>
      <c r="I300" s="323"/>
      <c r="J300" s="323"/>
      <c r="K300" s="323"/>
      <c r="L300" s="323"/>
      <c r="M300" s="323"/>
      <c r="N300" s="323"/>
      <c r="O300" s="323"/>
      <c r="P300" s="323"/>
      <c r="Q300" s="323"/>
    </row>
    <row r="301" spans="6:17" ht="25.35" customHeight="1">
      <c r="F301" s="331"/>
      <c r="G301" s="323"/>
      <c r="H301" s="323"/>
      <c r="I301" s="323"/>
      <c r="J301" s="323"/>
      <c r="K301" s="323"/>
      <c r="L301" s="323"/>
      <c r="M301" s="323"/>
      <c r="N301" s="323"/>
      <c r="O301" s="323"/>
      <c r="P301" s="323"/>
      <c r="Q301" s="323"/>
    </row>
    <row r="302" spans="6:17" ht="25.35" customHeight="1">
      <c r="F302" s="331"/>
      <c r="G302" s="323"/>
      <c r="H302" s="323"/>
      <c r="I302" s="323"/>
      <c r="J302" s="323"/>
      <c r="K302" s="323"/>
      <c r="L302" s="323"/>
      <c r="M302" s="323"/>
      <c r="N302" s="323"/>
      <c r="O302" s="323"/>
      <c r="P302" s="323"/>
      <c r="Q302" s="323"/>
    </row>
    <row r="303" spans="6:17" ht="25.35" customHeight="1">
      <c r="F303" s="331"/>
      <c r="G303" s="323"/>
      <c r="H303" s="323"/>
      <c r="I303" s="323"/>
      <c r="J303" s="323"/>
      <c r="K303" s="323"/>
      <c r="L303" s="323"/>
      <c r="M303" s="323"/>
      <c r="N303" s="323"/>
      <c r="O303" s="323"/>
      <c r="P303" s="323"/>
      <c r="Q303" s="323"/>
    </row>
    <row r="304" spans="6:17" ht="25.35" customHeight="1">
      <c r="F304" s="331"/>
      <c r="G304" s="323"/>
      <c r="H304" s="323"/>
      <c r="I304" s="323"/>
      <c r="J304" s="323"/>
      <c r="K304" s="323"/>
      <c r="L304" s="323"/>
      <c r="M304" s="323"/>
      <c r="N304" s="323"/>
      <c r="O304" s="323"/>
      <c r="P304" s="323"/>
      <c r="Q304" s="323"/>
    </row>
    <row r="305" spans="6:17" ht="25.35" customHeight="1">
      <c r="F305" s="331"/>
      <c r="G305" s="323"/>
      <c r="H305" s="323"/>
      <c r="I305" s="323"/>
      <c r="J305" s="323"/>
      <c r="K305" s="323"/>
      <c r="L305" s="323"/>
      <c r="M305" s="323"/>
      <c r="N305" s="323"/>
      <c r="O305" s="323"/>
      <c r="P305" s="323"/>
      <c r="Q305" s="323"/>
    </row>
    <row r="306" spans="6:17" ht="25.35" customHeight="1">
      <c r="F306" s="331"/>
      <c r="G306" s="323"/>
      <c r="H306" s="323"/>
      <c r="I306" s="323"/>
      <c r="J306" s="323"/>
      <c r="K306" s="323"/>
      <c r="L306" s="323"/>
      <c r="M306" s="323"/>
      <c r="N306" s="323"/>
      <c r="O306" s="323"/>
      <c r="P306" s="323"/>
      <c r="Q306" s="323"/>
    </row>
    <row r="307" spans="6:17" ht="25.35" customHeight="1">
      <c r="F307" s="331"/>
      <c r="G307" s="323"/>
      <c r="H307" s="323"/>
      <c r="I307" s="323"/>
      <c r="J307" s="323"/>
      <c r="K307" s="323"/>
      <c r="L307" s="323"/>
      <c r="M307" s="323"/>
      <c r="N307" s="323"/>
      <c r="O307" s="323"/>
      <c r="P307" s="323"/>
      <c r="Q307" s="323"/>
    </row>
    <row r="308" spans="6:17" ht="25.35" customHeight="1">
      <c r="F308" s="331"/>
      <c r="G308" s="323"/>
      <c r="H308" s="323"/>
      <c r="I308" s="323"/>
      <c r="J308" s="323"/>
      <c r="K308" s="323"/>
      <c r="L308" s="323"/>
      <c r="M308" s="323"/>
      <c r="N308" s="323"/>
      <c r="O308" s="323"/>
      <c r="P308" s="323"/>
      <c r="Q308" s="323"/>
    </row>
    <row r="309" spans="6:17" ht="25.35" customHeight="1">
      <c r="F309" s="331"/>
      <c r="G309" s="323"/>
      <c r="H309" s="323"/>
      <c r="I309" s="323"/>
      <c r="J309" s="323"/>
      <c r="K309" s="323"/>
      <c r="L309" s="323"/>
      <c r="M309" s="323"/>
      <c r="N309" s="323"/>
      <c r="O309" s="323"/>
      <c r="P309" s="323"/>
      <c r="Q309" s="323"/>
    </row>
    <row r="310" spans="6:17" ht="25.35" customHeight="1">
      <c r="F310" s="331"/>
      <c r="G310" s="323"/>
      <c r="H310" s="323"/>
      <c r="I310" s="323"/>
      <c r="J310" s="323"/>
      <c r="K310" s="323"/>
      <c r="L310" s="323"/>
      <c r="M310" s="323"/>
      <c r="N310" s="323"/>
      <c r="O310" s="323"/>
      <c r="P310" s="323"/>
      <c r="Q310" s="323"/>
    </row>
    <row r="311" spans="6:17" ht="25.35" customHeight="1">
      <c r="F311" s="331"/>
      <c r="G311" s="323"/>
      <c r="H311" s="323"/>
      <c r="I311" s="323"/>
      <c r="J311" s="323"/>
      <c r="K311" s="323"/>
      <c r="L311" s="323"/>
      <c r="M311" s="323"/>
      <c r="N311" s="323"/>
      <c r="O311" s="323"/>
      <c r="P311" s="323"/>
      <c r="Q311" s="323"/>
    </row>
    <row r="312" spans="6:17" ht="25.35" customHeight="1">
      <c r="F312" s="331"/>
      <c r="G312" s="323"/>
      <c r="H312" s="323"/>
      <c r="I312" s="323"/>
      <c r="J312" s="323"/>
      <c r="K312" s="323"/>
      <c r="L312" s="323"/>
      <c r="M312" s="323"/>
      <c r="N312" s="323"/>
      <c r="O312" s="323"/>
      <c r="P312" s="323"/>
      <c r="Q312" s="323"/>
    </row>
    <row r="313" spans="6:17" ht="25.35" customHeight="1">
      <c r="F313" s="331"/>
      <c r="G313" s="323"/>
      <c r="H313" s="323"/>
      <c r="I313" s="323"/>
      <c r="J313" s="323"/>
      <c r="K313" s="323"/>
      <c r="L313" s="323"/>
      <c r="M313" s="323"/>
      <c r="N313" s="323"/>
      <c r="O313" s="323"/>
      <c r="P313" s="323"/>
      <c r="Q313" s="323"/>
    </row>
    <row r="314" spans="6:17" ht="25.35" customHeight="1">
      <c r="F314" s="331"/>
      <c r="G314" s="323"/>
      <c r="H314" s="323"/>
      <c r="I314" s="323"/>
      <c r="J314" s="323"/>
      <c r="K314" s="323"/>
      <c r="L314" s="323"/>
      <c r="M314" s="323"/>
      <c r="N314" s="323"/>
      <c r="O314" s="323"/>
      <c r="P314" s="323"/>
      <c r="Q314" s="323"/>
    </row>
    <row r="315" spans="6:17" ht="25.35" customHeight="1">
      <c r="F315" s="331"/>
      <c r="G315" s="323"/>
      <c r="H315" s="323"/>
      <c r="I315" s="323"/>
      <c r="J315" s="323"/>
      <c r="K315" s="323"/>
      <c r="L315" s="323"/>
      <c r="M315" s="323"/>
      <c r="N315" s="323"/>
      <c r="O315" s="323"/>
      <c r="P315" s="323"/>
      <c r="Q315" s="323"/>
    </row>
    <row r="316" spans="6:17" ht="25.35" customHeight="1">
      <c r="F316" s="331"/>
      <c r="G316" s="323"/>
      <c r="H316" s="323"/>
      <c r="I316" s="323"/>
      <c r="J316" s="323"/>
      <c r="K316" s="323"/>
      <c r="L316" s="323"/>
      <c r="M316" s="323"/>
      <c r="N316" s="323"/>
      <c r="O316" s="323"/>
      <c r="P316" s="323"/>
      <c r="Q316" s="323"/>
    </row>
    <row r="317" spans="6:17" ht="25.35" customHeight="1">
      <c r="F317" s="331"/>
      <c r="G317" s="323"/>
      <c r="H317" s="323"/>
      <c r="I317" s="323"/>
      <c r="J317" s="323"/>
      <c r="K317" s="323"/>
      <c r="L317" s="323"/>
      <c r="M317" s="323"/>
      <c r="N317" s="323"/>
      <c r="O317" s="323"/>
      <c r="P317" s="323"/>
      <c r="Q317" s="323"/>
    </row>
    <row r="318" spans="6:17" ht="25.35" customHeight="1">
      <c r="F318" s="331"/>
      <c r="G318" s="323"/>
      <c r="H318" s="323"/>
      <c r="I318" s="323"/>
      <c r="J318" s="323"/>
      <c r="K318" s="323"/>
      <c r="L318" s="323"/>
      <c r="M318" s="323"/>
      <c r="N318" s="323"/>
      <c r="O318" s="323"/>
      <c r="P318" s="323"/>
      <c r="Q318" s="323"/>
    </row>
    <row r="319" spans="6:17" ht="25.35" customHeight="1">
      <c r="F319" s="331"/>
      <c r="G319" s="323"/>
      <c r="H319" s="323"/>
      <c r="I319" s="323"/>
      <c r="J319" s="323"/>
      <c r="K319" s="323"/>
      <c r="L319" s="323"/>
      <c r="M319" s="323"/>
      <c r="N319" s="323"/>
      <c r="O319" s="323"/>
      <c r="P319" s="323"/>
      <c r="Q319" s="323"/>
    </row>
    <row r="320" spans="6:17" ht="25.35" customHeight="1">
      <c r="F320" s="331"/>
      <c r="G320" s="323"/>
      <c r="H320" s="323"/>
      <c r="I320" s="323"/>
      <c r="J320" s="323"/>
      <c r="K320" s="323"/>
      <c r="L320" s="323"/>
      <c r="M320" s="323"/>
      <c r="N320" s="323"/>
      <c r="O320" s="323"/>
      <c r="P320" s="323"/>
      <c r="Q320" s="323"/>
    </row>
    <row r="321" spans="6:17" ht="25.35" customHeight="1">
      <c r="F321" s="331"/>
      <c r="G321" s="323"/>
      <c r="H321" s="323"/>
      <c r="I321" s="323"/>
      <c r="J321" s="323"/>
      <c r="K321" s="323"/>
      <c r="L321" s="323"/>
      <c r="M321" s="323"/>
      <c r="N321" s="323"/>
      <c r="O321" s="323"/>
      <c r="P321" s="323"/>
      <c r="Q321" s="323"/>
    </row>
    <row r="322" spans="6:17" ht="25.35" customHeight="1">
      <c r="F322" s="331"/>
      <c r="G322" s="323"/>
      <c r="H322" s="323"/>
      <c r="I322" s="323"/>
      <c r="J322" s="323"/>
      <c r="K322" s="323"/>
      <c r="L322" s="323"/>
      <c r="M322" s="323"/>
      <c r="N322" s="323"/>
      <c r="O322" s="323"/>
      <c r="P322" s="323"/>
      <c r="Q322" s="323"/>
    </row>
    <row r="323" spans="6:17" ht="25.35" customHeight="1">
      <c r="F323" s="331"/>
      <c r="G323" s="323"/>
      <c r="H323" s="323"/>
      <c r="I323" s="323"/>
      <c r="J323" s="323"/>
      <c r="K323" s="323"/>
      <c r="L323" s="323"/>
      <c r="M323" s="323"/>
      <c r="N323" s="323"/>
      <c r="O323" s="323"/>
      <c r="P323" s="323"/>
      <c r="Q323" s="323"/>
    </row>
    <row r="324" spans="6:17" ht="25.35" customHeight="1">
      <c r="F324" s="331"/>
      <c r="G324" s="323"/>
      <c r="H324" s="323"/>
      <c r="I324" s="323"/>
      <c r="J324" s="323"/>
      <c r="K324" s="323"/>
      <c r="L324" s="323"/>
      <c r="M324" s="323"/>
      <c r="N324" s="323"/>
      <c r="O324" s="323"/>
      <c r="P324" s="323"/>
      <c r="Q324" s="323"/>
    </row>
    <row r="325" spans="6:17" ht="25.35" customHeight="1">
      <c r="F325" s="331"/>
      <c r="G325" s="323"/>
      <c r="H325" s="323"/>
      <c r="I325" s="323"/>
      <c r="J325" s="323"/>
      <c r="K325" s="323"/>
      <c r="L325" s="323"/>
      <c r="M325" s="323"/>
      <c r="N325" s="323"/>
      <c r="O325" s="323"/>
      <c r="P325" s="323"/>
      <c r="Q325" s="323"/>
    </row>
    <row r="326" spans="6:17" ht="25.35" customHeight="1">
      <c r="F326" s="331"/>
      <c r="G326" s="323"/>
      <c r="H326" s="323"/>
      <c r="I326" s="323"/>
      <c r="J326" s="323"/>
      <c r="K326" s="323"/>
      <c r="L326" s="323"/>
      <c r="M326" s="323"/>
      <c r="N326" s="323"/>
      <c r="O326" s="323"/>
      <c r="P326" s="323"/>
      <c r="Q326" s="323"/>
    </row>
    <row r="327" spans="6:17" ht="25.35" customHeight="1">
      <c r="F327" s="331"/>
      <c r="G327" s="323"/>
      <c r="H327" s="323"/>
      <c r="I327" s="323"/>
      <c r="J327" s="323"/>
      <c r="K327" s="323"/>
      <c r="L327" s="323"/>
      <c r="M327" s="323"/>
      <c r="N327" s="323"/>
      <c r="O327" s="323"/>
      <c r="P327" s="323"/>
      <c r="Q327" s="323"/>
    </row>
    <row r="328" spans="6:17" ht="25.35" customHeight="1">
      <c r="F328" s="331"/>
      <c r="G328" s="323"/>
      <c r="H328" s="323"/>
      <c r="I328" s="323"/>
      <c r="J328" s="323"/>
      <c r="K328" s="323"/>
      <c r="L328" s="323"/>
      <c r="M328" s="323"/>
      <c r="N328" s="323"/>
      <c r="O328" s="323"/>
      <c r="P328" s="323"/>
      <c r="Q328" s="323"/>
    </row>
    <row r="329" spans="6:17" ht="25.35" customHeight="1">
      <c r="F329" s="331"/>
      <c r="G329" s="323"/>
      <c r="H329" s="323"/>
      <c r="I329" s="323"/>
      <c r="J329" s="323"/>
      <c r="K329" s="323"/>
      <c r="L329" s="323"/>
      <c r="M329" s="323"/>
      <c r="N329" s="323"/>
      <c r="O329" s="323"/>
      <c r="P329" s="323"/>
      <c r="Q329" s="323"/>
    </row>
    <row r="330" spans="6:17" ht="25.35" customHeight="1">
      <c r="F330" s="331"/>
      <c r="G330" s="323"/>
      <c r="H330" s="323"/>
      <c r="I330" s="323"/>
      <c r="J330" s="323"/>
      <c r="K330" s="323"/>
      <c r="L330" s="323"/>
      <c r="M330" s="323"/>
      <c r="N330" s="323"/>
      <c r="O330" s="323"/>
      <c r="P330" s="323"/>
      <c r="Q330" s="323"/>
    </row>
    <row r="331" spans="6:17" ht="25.35" customHeight="1">
      <c r="F331" s="331"/>
      <c r="G331" s="323"/>
      <c r="H331" s="323"/>
      <c r="I331" s="323"/>
      <c r="J331" s="323"/>
      <c r="K331" s="323"/>
      <c r="L331" s="323"/>
      <c r="M331" s="323"/>
      <c r="N331" s="323"/>
      <c r="O331" s="323"/>
      <c r="P331" s="323"/>
      <c r="Q331" s="323"/>
    </row>
    <row r="332" spans="6:17" ht="25.35" customHeight="1">
      <c r="F332" s="331"/>
      <c r="G332" s="323"/>
      <c r="H332" s="323"/>
      <c r="I332" s="323"/>
      <c r="J332" s="323"/>
      <c r="K332" s="323"/>
      <c r="L332" s="323"/>
      <c r="M332" s="323"/>
      <c r="N332" s="323"/>
      <c r="O332" s="323"/>
      <c r="P332" s="323"/>
      <c r="Q332" s="323"/>
    </row>
    <row r="333" spans="6:17" ht="25.35" customHeight="1">
      <c r="F333" s="331"/>
      <c r="G333" s="323"/>
      <c r="H333" s="323"/>
      <c r="I333" s="323"/>
      <c r="J333" s="323"/>
      <c r="K333" s="323"/>
      <c r="L333" s="323"/>
      <c r="M333" s="323"/>
      <c r="N333" s="323"/>
      <c r="O333" s="323"/>
      <c r="P333" s="323"/>
      <c r="Q333" s="323"/>
    </row>
    <row r="334" spans="6:17" ht="25.35" customHeight="1">
      <c r="F334" s="331"/>
      <c r="G334" s="323"/>
      <c r="H334" s="323"/>
      <c r="I334" s="323"/>
      <c r="J334" s="323"/>
      <c r="K334" s="323"/>
      <c r="L334" s="323"/>
      <c r="M334" s="323"/>
      <c r="N334" s="323"/>
      <c r="O334" s="323"/>
      <c r="P334" s="323"/>
      <c r="Q334" s="323"/>
    </row>
    <row r="335" spans="6:17" ht="25.35" customHeight="1">
      <c r="F335" s="331"/>
      <c r="G335" s="323"/>
      <c r="H335" s="323"/>
      <c r="I335" s="323"/>
      <c r="J335" s="323"/>
      <c r="K335" s="323"/>
      <c r="L335" s="323"/>
      <c r="M335" s="323"/>
      <c r="N335" s="323"/>
      <c r="O335" s="323"/>
      <c r="P335" s="323"/>
      <c r="Q335" s="323"/>
    </row>
    <row r="336" spans="6:17" ht="25.35" customHeight="1">
      <c r="F336" s="331"/>
      <c r="G336" s="323"/>
      <c r="H336" s="323"/>
      <c r="I336" s="323"/>
      <c r="J336" s="323"/>
      <c r="K336" s="323"/>
      <c r="L336" s="323"/>
      <c r="M336" s="323"/>
      <c r="N336" s="323"/>
      <c r="O336" s="323"/>
      <c r="P336" s="323"/>
      <c r="Q336" s="323"/>
    </row>
    <row r="337" spans="6:17" ht="25.35" customHeight="1">
      <c r="F337" s="331"/>
      <c r="G337" s="323"/>
      <c r="H337" s="323"/>
      <c r="I337" s="323"/>
      <c r="J337" s="323"/>
      <c r="K337" s="323"/>
      <c r="L337" s="323"/>
      <c r="M337" s="323"/>
      <c r="N337" s="323"/>
      <c r="O337" s="323"/>
      <c r="P337" s="323"/>
      <c r="Q337" s="323"/>
    </row>
    <row r="338" spans="6:17" ht="25.35" customHeight="1">
      <c r="F338" s="331"/>
      <c r="G338" s="323"/>
      <c r="H338" s="323"/>
      <c r="I338" s="323"/>
      <c r="J338" s="323"/>
      <c r="K338" s="323"/>
      <c r="L338" s="323"/>
      <c r="M338" s="323"/>
      <c r="N338" s="323"/>
      <c r="O338" s="323"/>
      <c r="P338" s="323"/>
      <c r="Q338" s="323"/>
    </row>
    <row r="339" spans="6:17" ht="25.35" customHeight="1">
      <c r="F339" s="331"/>
      <c r="G339" s="323"/>
      <c r="H339" s="323"/>
      <c r="I339" s="323"/>
      <c r="J339" s="323"/>
      <c r="K339" s="323"/>
      <c r="L339" s="323"/>
      <c r="M339" s="323"/>
      <c r="N339" s="323"/>
      <c r="O339" s="323"/>
      <c r="P339" s="323"/>
      <c r="Q339" s="323"/>
    </row>
    <row r="340" spans="6:17" ht="25.35" customHeight="1">
      <c r="F340" s="331"/>
      <c r="G340" s="323"/>
      <c r="H340" s="323"/>
      <c r="I340" s="323"/>
      <c r="J340" s="323"/>
      <c r="K340" s="323"/>
      <c r="L340" s="323"/>
      <c r="M340" s="323"/>
      <c r="N340" s="323"/>
      <c r="O340" s="323"/>
      <c r="P340" s="323"/>
      <c r="Q340" s="323"/>
    </row>
    <row r="341" spans="6:17" ht="25.35" customHeight="1">
      <c r="F341" s="331"/>
      <c r="G341" s="323"/>
      <c r="H341" s="323"/>
      <c r="I341" s="323"/>
      <c r="J341" s="323"/>
      <c r="K341" s="323"/>
      <c r="L341" s="323"/>
      <c r="M341" s="323"/>
      <c r="N341" s="323"/>
      <c r="O341" s="323"/>
      <c r="P341" s="323"/>
      <c r="Q341" s="323"/>
    </row>
    <row r="342" spans="6:17" ht="25.35" customHeight="1">
      <c r="F342" s="331"/>
      <c r="G342" s="323"/>
      <c r="H342" s="323"/>
      <c r="I342" s="323"/>
      <c r="J342" s="323"/>
      <c r="K342" s="323"/>
      <c r="L342" s="323"/>
      <c r="M342" s="323"/>
      <c r="N342" s="323"/>
      <c r="O342" s="323"/>
      <c r="P342" s="323"/>
      <c r="Q342" s="323"/>
    </row>
    <row r="343" spans="6:17" ht="25.35" customHeight="1">
      <c r="F343" s="331"/>
      <c r="G343" s="323"/>
      <c r="H343" s="323"/>
      <c r="I343" s="323"/>
      <c r="J343" s="323"/>
      <c r="K343" s="323"/>
      <c r="L343" s="323"/>
      <c r="M343" s="323"/>
      <c r="N343" s="323"/>
      <c r="O343" s="323"/>
      <c r="P343" s="323"/>
      <c r="Q343" s="323"/>
    </row>
    <row r="344" spans="6:17" ht="25.35" customHeight="1">
      <c r="F344" s="331"/>
      <c r="G344" s="323"/>
      <c r="H344" s="323"/>
      <c r="I344" s="323"/>
      <c r="J344" s="323"/>
      <c r="K344" s="323"/>
      <c r="L344" s="323"/>
      <c r="M344" s="323"/>
      <c r="N344" s="323"/>
      <c r="O344" s="323"/>
      <c r="P344" s="323"/>
      <c r="Q344" s="323"/>
    </row>
    <row r="345" spans="6:17" ht="25.35" customHeight="1">
      <c r="F345" s="331"/>
      <c r="G345" s="323"/>
      <c r="H345" s="323"/>
      <c r="I345" s="323"/>
      <c r="J345" s="323"/>
      <c r="K345" s="323"/>
      <c r="L345" s="323"/>
      <c r="M345" s="323"/>
      <c r="N345" s="323"/>
      <c r="O345" s="323"/>
      <c r="P345" s="323"/>
      <c r="Q345" s="323"/>
    </row>
    <row r="346" spans="6:17" ht="25.35" customHeight="1">
      <c r="F346" s="331"/>
      <c r="G346" s="323"/>
      <c r="H346" s="323"/>
      <c r="I346" s="323"/>
      <c r="J346" s="323"/>
      <c r="K346" s="323"/>
      <c r="L346" s="323"/>
      <c r="M346" s="323"/>
      <c r="N346" s="323"/>
      <c r="O346" s="323"/>
      <c r="P346" s="323"/>
      <c r="Q346" s="323"/>
    </row>
    <row r="347" spans="6:17" ht="25.35" customHeight="1">
      <c r="F347" s="331"/>
      <c r="G347" s="323"/>
      <c r="H347" s="323"/>
      <c r="I347" s="323"/>
      <c r="J347" s="323"/>
      <c r="K347" s="323"/>
      <c r="L347" s="323"/>
      <c r="M347" s="323"/>
      <c r="N347" s="323"/>
      <c r="O347" s="323"/>
      <c r="P347" s="323"/>
      <c r="Q347" s="323"/>
    </row>
    <row r="348" spans="6:17" ht="25.35" customHeight="1">
      <c r="F348" s="331"/>
      <c r="G348" s="323"/>
      <c r="H348" s="323"/>
      <c r="I348" s="323"/>
      <c r="J348" s="323"/>
      <c r="K348" s="323"/>
      <c r="L348" s="323"/>
      <c r="M348" s="323"/>
      <c r="N348" s="323"/>
      <c r="O348" s="323"/>
      <c r="P348" s="323"/>
      <c r="Q348" s="323"/>
    </row>
    <row r="349" spans="6:17" ht="25.35" customHeight="1">
      <c r="F349" s="331"/>
      <c r="G349" s="323"/>
      <c r="H349" s="323"/>
      <c r="I349" s="323"/>
      <c r="J349" s="323"/>
      <c r="K349" s="323"/>
      <c r="L349" s="323"/>
      <c r="M349" s="323"/>
      <c r="N349" s="323"/>
      <c r="O349" s="323"/>
      <c r="P349" s="323"/>
      <c r="Q349" s="323"/>
    </row>
    <row r="350" spans="6:17" ht="25.35" customHeight="1">
      <c r="F350" s="331"/>
      <c r="G350" s="323"/>
      <c r="H350" s="323"/>
      <c r="I350" s="323"/>
      <c r="J350" s="323"/>
      <c r="K350" s="323"/>
      <c r="L350" s="323"/>
      <c r="M350" s="323"/>
      <c r="N350" s="323"/>
      <c r="O350" s="323"/>
      <c r="P350" s="323"/>
      <c r="Q350" s="323"/>
    </row>
    <row r="351" spans="6:17" ht="25.35" customHeight="1">
      <c r="F351" s="331"/>
      <c r="G351" s="323"/>
      <c r="H351" s="323"/>
      <c r="I351" s="323"/>
      <c r="J351" s="323"/>
      <c r="K351" s="323"/>
      <c r="L351" s="323"/>
      <c r="M351" s="323"/>
      <c r="N351" s="323"/>
      <c r="O351" s="323"/>
      <c r="P351" s="323"/>
      <c r="Q351" s="323"/>
    </row>
    <row r="352" spans="6:17" ht="25.35" customHeight="1">
      <c r="F352" s="331"/>
      <c r="G352" s="323"/>
      <c r="H352" s="323"/>
      <c r="I352" s="323"/>
      <c r="J352" s="323"/>
      <c r="K352" s="323"/>
      <c r="L352" s="323"/>
      <c r="M352" s="323"/>
      <c r="N352" s="323"/>
      <c r="O352" s="323"/>
      <c r="P352" s="323"/>
      <c r="Q352" s="323"/>
    </row>
    <row r="353" spans="6:17" ht="25.35" customHeight="1">
      <c r="F353" s="331"/>
      <c r="G353" s="323"/>
      <c r="H353" s="323"/>
      <c r="I353" s="323"/>
      <c r="J353" s="323"/>
      <c r="K353" s="323"/>
      <c r="L353" s="323"/>
      <c r="M353" s="323"/>
      <c r="N353" s="323"/>
      <c r="O353" s="323"/>
      <c r="P353" s="323"/>
      <c r="Q353" s="323"/>
    </row>
    <row r="354" spans="6:17" ht="25.35" customHeight="1">
      <c r="F354" s="331"/>
      <c r="G354" s="323"/>
      <c r="H354" s="323"/>
      <c r="I354" s="323"/>
      <c r="J354" s="323"/>
      <c r="K354" s="323"/>
      <c r="L354" s="323"/>
      <c r="M354" s="323"/>
      <c r="N354" s="323"/>
      <c r="O354" s="323"/>
      <c r="P354" s="323"/>
      <c r="Q354" s="323"/>
    </row>
    <row r="355" spans="6:17" ht="25.35" customHeight="1">
      <c r="F355" s="331"/>
      <c r="G355" s="323"/>
      <c r="H355" s="323"/>
      <c r="I355" s="323"/>
      <c r="J355" s="323"/>
      <c r="K355" s="323"/>
      <c r="L355" s="323"/>
      <c r="M355" s="323"/>
      <c r="N355" s="323"/>
      <c r="O355" s="323"/>
      <c r="P355" s="323"/>
      <c r="Q355" s="323"/>
    </row>
    <row r="356" spans="6:17" ht="25.35" customHeight="1">
      <c r="F356" s="331"/>
      <c r="G356" s="323"/>
      <c r="H356" s="323"/>
      <c r="I356" s="323"/>
      <c r="J356" s="323"/>
      <c r="K356" s="323"/>
      <c r="L356" s="323"/>
      <c r="M356" s="323"/>
      <c r="N356" s="323"/>
      <c r="O356" s="323"/>
      <c r="P356" s="323"/>
      <c r="Q356" s="323"/>
    </row>
    <row r="357" spans="6:17" ht="25.35" customHeight="1">
      <c r="F357" s="331"/>
      <c r="G357" s="323"/>
      <c r="H357" s="323"/>
      <c r="I357" s="323"/>
      <c r="J357" s="323"/>
      <c r="K357" s="323"/>
      <c r="L357" s="323"/>
      <c r="M357" s="323"/>
      <c r="N357" s="323"/>
      <c r="O357" s="323"/>
      <c r="P357" s="323"/>
      <c r="Q357" s="323"/>
    </row>
    <row r="358" spans="6:17" ht="25.35" customHeight="1">
      <c r="F358" s="331"/>
      <c r="G358" s="323"/>
      <c r="H358" s="323"/>
      <c r="I358" s="323"/>
      <c r="J358" s="323"/>
      <c r="K358" s="323"/>
      <c r="L358" s="323"/>
      <c r="M358" s="323"/>
      <c r="N358" s="323"/>
      <c r="O358" s="323"/>
      <c r="P358" s="323"/>
      <c r="Q358" s="323"/>
    </row>
    <row r="359" spans="6:17" ht="25.35" customHeight="1">
      <c r="F359" s="331"/>
      <c r="G359" s="323"/>
      <c r="H359" s="323"/>
      <c r="I359" s="323"/>
      <c r="J359" s="323"/>
      <c r="K359" s="323"/>
      <c r="L359" s="323"/>
      <c r="M359" s="323"/>
      <c r="N359" s="323"/>
      <c r="O359" s="323"/>
      <c r="P359" s="323"/>
      <c r="Q359" s="323"/>
    </row>
    <row r="360" spans="6:17" ht="25.35" customHeight="1">
      <c r="F360" s="331"/>
      <c r="G360" s="323"/>
      <c r="H360" s="323"/>
      <c r="I360" s="323"/>
      <c r="J360" s="323"/>
      <c r="K360" s="323"/>
      <c r="L360" s="323"/>
      <c r="M360" s="323"/>
      <c r="N360" s="323"/>
      <c r="O360" s="323"/>
      <c r="P360" s="323"/>
      <c r="Q360" s="323"/>
    </row>
    <row r="361" spans="6:17" ht="25.35" customHeight="1">
      <c r="F361" s="331"/>
      <c r="G361" s="323"/>
      <c r="H361" s="323"/>
      <c r="I361" s="323"/>
      <c r="J361" s="323"/>
      <c r="K361" s="323"/>
      <c r="L361" s="323"/>
      <c r="M361" s="323"/>
      <c r="N361" s="323"/>
      <c r="O361" s="323"/>
      <c r="P361" s="323"/>
      <c r="Q361" s="323"/>
    </row>
    <row r="362" spans="6:17" ht="25.35" customHeight="1">
      <c r="F362" s="331"/>
      <c r="G362" s="323"/>
      <c r="H362" s="323"/>
      <c r="I362" s="323"/>
      <c r="J362" s="323"/>
      <c r="K362" s="323"/>
      <c r="L362" s="323"/>
      <c r="M362" s="323"/>
      <c r="N362" s="323"/>
      <c r="O362" s="323"/>
      <c r="P362" s="323"/>
      <c r="Q362" s="323"/>
    </row>
    <row r="363" spans="6:17" ht="25.35" customHeight="1">
      <c r="F363" s="331"/>
      <c r="G363" s="323"/>
      <c r="H363" s="323"/>
      <c r="I363" s="323"/>
      <c r="J363" s="323"/>
      <c r="K363" s="323"/>
      <c r="L363" s="323"/>
      <c r="M363" s="323"/>
      <c r="N363" s="323"/>
      <c r="O363" s="323"/>
      <c r="P363" s="323"/>
      <c r="Q363" s="323"/>
    </row>
    <row r="364" spans="6:17" ht="25.35" customHeight="1">
      <c r="F364" s="331"/>
      <c r="G364" s="323"/>
      <c r="H364" s="323"/>
      <c r="I364" s="323"/>
      <c r="J364" s="323"/>
      <c r="K364" s="323"/>
      <c r="L364" s="323"/>
      <c r="M364" s="323"/>
      <c r="N364" s="323"/>
      <c r="O364" s="323"/>
      <c r="P364" s="323"/>
      <c r="Q364" s="323"/>
    </row>
    <row r="365" spans="6:17" ht="25.35" customHeight="1">
      <c r="F365" s="331"/>
      <c r="G365" s="323"/>
      <c r="H365" s="323"/>
      <c r="I365" s="323"/>
      <c r="J365" s="323"/>
      <c r="K365" s="323"/>
      <c r="L365" s="323"/>
      <c r="M365" s="323"/>
      <c r="N365" s="323"/>
      <c r="O365" s="323"/>
      <c r="P365" s="323"/>
      <c r="Q365" s="323"/>
    </row>
    <row r="366" spans="6:17" ht="25.35" customHeight="1">
      <c r="F366" s="331"/>
      <c r="G366" s="323"/>
      <c r="H366" s="323"/>
      <c r="I366" s="323"/>
      <c r="J366" s="323"/>
      <c r="K366" s="323"/>
      <c r="L366" s="323"/>
      <c r="M366" s="323"/>
      <c r="N366" s="323"/>
      <c r="O366" s="323"/>
      <c r="P366" s="323"/>
      <c r="Q366" s="323"/>
    </row>
    <row r="367" spans="6:17" ht="25.35" customHeight="1">
      <c r="F367" s="331"/>
      <c r="G367" s="323"/>
      <c r="H367" s="323"/>
      <c r="I367" s="323"/>
      <c r="J367" s="323"/>
      <c r="K367" s="323"/>
      <c r="L367" s="323"/>
      <c r="M367" s="323"/>
      <c r="N367" s="323"/>
      <c r="O367" s="323"/>
      <c r="P367" s="323"/>
      <c r="Q367" s="323"/>
    </row>
    <row r="368" spans="6:17" ht="25.35" customHeight="1">
      <c r="F368" s="331"/>
      <c r="G368" s="323"/>
      <c r="H368" s="323"/>
      <c r="I368" s="323"/>
      <c r="J368" s="323"/>
      <c r="K368" s="323"/>
      <c r="L368" s="323"/>
      <c r="M368" s="323"/>
      <c r="N368" s="323"/>
      <c r="O368" s="323"/>
      <c r="P368" s="323"/>
      <c r="Q368" s="323"/>
    </row>
    <row r="369" spans="6:17" ht="25.35" customHeight="1">
      <c r="F369" s="331"/>
      <c r="G369" s="323"/>
      <c r="H369" s="323"/>
      <c r="I369" s="323"/>
      <c r="J369" s="323"/>
      <c r="K369" s="323"/>
      <c r="L369" s="323"/>
      <c r="M369" s="323"/>
      <c r="N369" s="323"/>
      <c r="O369" s="323"/>
      <c r="P369" s="323"/>
      <c r="Q369" s="323"/>
    </row>
    <row r="370" spans="6:17" ht="25.35" customHeight="1">
      <c r="F370" s="331"/>
      <c r="G370" s="323"/>
      <c r="H370" s="323"/>
      <c r="I370" s="323"/>
      <c r="J370" s="323"/>
      <c r="K370" s="323"/>
      <c r="L370" s="323"/>
      <c r="M370" s="323"/>
      <c r="N370" s="323"/>
      <c r="O370" s="323"/>
      <c r="P370" s="323"/>
      <c r="Q370" s="323"/>
    </row>
    <row r="371" spans="6:17" ht="25.35" customHeight="1">
      <c r="F371" s="331"/>
      <c r="G371" s="323"/>
      <c r="H371" s="323"/>
      <c r="I371" s="323"/>
      <c r="J371" s="323"/>
      <c r="K371" s="323"/>
      <c r="L371" s="323"/>
      <c r="M371" s="323"/>
      <c r="N371" s="323"/>
      <c r="O371" s="323"/>
      <c r="P371" s="323"/>
      <c r="Q371" s="323"/>
    </row>
    <row r="372" spans="6:17" ht="25.35" customHeight="1">
      <c r="F372" s="331"/>
      <c r="G372" s="323"/>
      <c r="H372" s="323"/>
      <c r="I372" s="323"/>
      <c r="J372" s="323"/>
      <c r="K372" s="323"/>
      <c r="L372" s="323"/>
      <c r="M372" s="323"/>
      <c r="N372" s="323"/>
      <c r="O372" s="323"/>
      <c r="P372" s="323"/>
      <c r="Q372" s="323"/>
    </row>
    <row r="373" spans="6:17" ht="25.35" customHeight="1">
      <c r="F373" s="331"/>
      <c r="G373" s="323"/>
      <c r="H373" s="323"/>
      <c r="I373" s="323"/>
      <c r="J373" s="323"/>
      <c r="K373" s="323"/>
      <c r="L373" s="323"/>
      <c r="M373" s="323"/>
      <c r="N373" s="323"/>
      <c r="O373" s="323"/>
      <c r="P373" s="323"/>
      <c r="Q373" s="323"/>
    </row>
    <row r="374" spans="6:17" ht="25.35" customHeight="1">
      <c r="F374" s="331"/>
      <c r="G374" s="323"/>
      <c r="H374" s="323"/>
      <c r="I374" s="323"/>
      <c r="J374" s="323"/>
      <c r="K374" s="323"/>
      <c r="L374" s="323"/>
      <c r="M374" s="323"/>
      <c r="N374" s="323"/>
      <c r="O374" s="323"/>
      <c r="P374" s="323"/>
      <c r="Q374" s="323"/>
    </row>
    <row r="375" spans="6:17" ht="25.35" customHeight="1">
      <c r="F375" s="331"/>
      <c r="G375" s="323"/>
      <c r="H375" s="323"/>
      <c r="I375" s="323"/>
      <c r="J375" s="323"/>
      <c r="K375" s="323"/>
      <c r="L375" s="323"/>
      <c r="M375" s="323"/>
      <c r="N375" s="323"/>
      <c r="O375" s="323"/>
      <c r="P375" s="323"/>
      <c r="Q375" s="323"/>
    </row>
    <row r="376" spans="6:17" ht="25.35" customHeight="1">
      <c r="F376" s="331"/>
      <c r="G376" s="323"/>
      <c r="H376" s="323"/>
      <c r="I376" s="323"/>
      <c r="J376" s="323"/>
      <c r="K376" s="323"/>
      <c r="L376" s="323"/>
      <c r="M376" s="323"/>
      <c r="N376" s="323"/>
      <c r="O376" s="323"/>
      <c r="P376" s="323"/>
      <c r="Q376" s="323"/>
    </row>
    <row r="377" spans="6:17" ht="25.35" customHeight="1">
      <c r="F377" s="331"/>
      <c r="G377" s="323"/>
      <c r="H377" s="323"/>
      <c r="I377" s="323"/>
      <c r="J377" s="323"/>
      <c r="K377" s="323"/>
      <c r="L377" s="323"/>
      <c r="M377" s="323"/>
      <c r="N377" s="323"/>
      <c r="O377" s="323"/>
      <c r="P377" s="323"/>
      <c r="Q377" s="323"/>
    </row>
    <row r="378" spans="6:17" ht="25.35" customHeight="1">
      <c r="F378" s="331"/>
      <c r="G378" s="323"/>
      <c r="H378" s="323"/>
      <c r="I378" s="323"/>
      <c r="J378" s="323"/>
      <c r="K378" s="323"/>
      <c r="L378" s="323"/>
      <c r="M378" s="323"/>
      <c r="N378" s="323"/>
      <c r="O378" s="323"/>
      <c r="P378" s="323"/>
      <c r="Q378" s="323"/>
    </row>
    <row r="379" spans="6:17" ht="25.35" customHeight="1">
      <c r="F379" s="331"/>
      <c r="G379" s="323"/>
      <c r="H379" s="323"/>
      <c r="I379" s="323"/>
      <c r="J379" s="323"/>
      <c r="K379" s="323"/>
      <c r="L379" s="323"/>
      <c r="M379" s="323"/>
      <c r="N379" s="323"/>
      <c r="O379" s="323"/>
      <c r="P379" s="323"/>
      <c r="Q379" s="323"/>
    </row>
    <row r="380" spans="6:17" ht="25.35" customHeight="1">
      <c r="F380" s="331"/>
      <c r="G380" s="323"/>
      <c r="H380" s="323"/>
      <c r="I380" s="323"/>
      <c r="J380" s="323"/>
      <c r="K380" s="323"/>
      <c r="L380" s="323"/>
      <c r="M380" s="323"/>
      <c r="N380" s="323"/>
      <c r="O380" s="323"/>
      <c r="P380" s="323"/>
      <c r="Q380" s="323"/>
    </row>
    <row r="381" spans="6:17" ht="25.35" customHeight="1">
      <c r="F381" s="331"/>
      <c r="G381" s="323"/>
      <c r="H381" s="323"/>
      <c r="I381" s="323"/>
      <c r="J381" s="323"/>
      <c r="K381" s="323"/>
      <c r="L381" s="323"/>
      <c r="M381" s="323"/>
      <c r="N381" s="323"/>
      <c r="O381" s="323"/>
      <c r="P381" s="323"/>
      <c r="Q381" s="323"/>
    </row>
    <row r="382" spans="6:17" ht="25.35" customHeight="1">
      <c r="F382" s="331"/>
      <c r="G382" s="323"/>
      <c r="H382" s="323"/>
      <c r="I382" s="323"/>
      <c r="J382" s="323"/>
      <c r="K382" s="323"/>
      <c r="L382" s="323"/>
      <c r="M382" s="323"/>
      <c r="N382" s="323"/>
      <c r="O382" s="323"/>
      <c r="P382" s="323"/>
      <c r="Q382" s="323"/>
    </row>
    <row r="383" spans="6:17" ht="25.35" customHeight="1">
      <c r="F383" s="331"/>
      <c r="G383" s="323"/>
      <c r="H383" s="323"/>
      <c r="I383" s="323"/>
      <c r="J383" s="323"/>
      <c r="K383" s="323"/>
      <c r="L383" s="323"/>
      <c r="M383" s="323"/>
      <c r="N383" s="323"/>
      <c r="O383" s="323"/>
      <c r="P383" s="323"/>
      <c r="Q383" s="323"/>
    </row>
    <row r="384" spans="6:17" ht="25.35" customHeight="1">
      <c r="F384" s="331"/>
      <c r="G384" s="323"/>
      <c r="H384" s="323"/>
      <c r="I384" s="323"/>
      <c r="J384" s="323"/>
      <c r="K384" s="323"/>
      <c r="L384" s="323"/>
      <c r="M384" s="323"/>
      <c r="N384" s="323"/>
      <c r="O384" s="323"/>
      <c r="P384" s="323"/>
      <c r="Q384" s="323"/>
    </row>
    <row r="385" spans="6:17" ht="25.35" customHeight="1">
      <c r="F385" s="331"/>
      <c r="G385" s="323"/>
      <c r="H385" s="323"/>
      <c r="I385" s="323"/>
      <c r="J385" s="323"/>
      <c r="K385" s="323"/>
      <c r="L385" s="323"/>
      <c r="M385" s="323"/>
      <c r="N385" s="323"/>
      <c r="O385" s="323"/>
      <c r="P385" s="323"/>
      <c r="Q385" s="323"/>
    </row>
    <row r="386" spans="6:17" ht="25.35" customHeight="1">
      <c r="F386" s="331"/>
      <c r="G386" s="323"/>
      <c r="H386" s="323"/>
      <c r="I386" s="323"/>
      <c r="J386" s="323"/>
      <c r="K386" s="323"/>
      <c r="L386" s="323"/>
      <c r="M386" s="323"/>
      <c r="N386" s="323"/>
      <c r="O386" s="323"/>
      <c r="P386" s="323"/>
      <c r="Q386" s="323"/>
    </row>
    <row r="387" spans="6:17" ht="25.35" customHeight="1">
      <c r="F387" s="331"/>
      <c r="G387" s="323"/>
      <c r="H387" s="323"/>
      <c r="I387" s="323"/>
      <c r="J387" s="323"/>
      <c r="K387" s="323"/>
      <c r="L387" s="323"/>
      <c r="M387" s="323"/>
      <c r="N387" s="323"/>
      <c r="O387" s="323"/>
      <c r="P387" s="323"/>
      <c r="Q387" s="323"/>
    </row>
    <row r="388" spans="6:17" ht="25.35" customHeight="1">
      <c r="F388" s="331"/>
      <c r="G388" s="323"/>
      <c r="H388" s="323"/>
      <c r="I388" s="323"/>
      <c r="J388" s="323"/>
      <c r="K388" s="323"/>
      <c r="L388" s="323"/>
      <c r="M388" s="323"/>
      <c r="N388" s="323"/>
      <c r="O388" s="323"/>
      <c r="P388" s="323"/>
      <c r="Q388" s="323"/>
    </row>
    <row r="389" spans="6:17" ht="25.35" customHeight="1">
      <c r="F389" s="331"/>
      <c r="G389" s="323"/>
      <c r="H389" s="323"/>
      <c r="I389" s="323"/>
      <c r="J389" s="323"/>
      <c r="K389" s="323"/>
      <c r="L389" s="323"/>
      <c r="M389" s="323"/>
      <c r="N389" s="323"/>
      <c r="O389" s="323"/>
      <c r="P389" s="323"/>
      <c r="Q389" s="323"/>
    </row>
    <row r="390" spans="6:17" ht="25.35" customHeight="1">
      <c r="F390" s="331"/>
      <c r="G390" s="323"/>
      <c r="H390" s="323"/>
      <c r="I390" s="323"/>
      <c r="J390" s="323"/>
      <c r="K390" s="323"/>
      <c r="L390" s="323"/>
      <c r="M390" s="323"/>
      <c r="N390" s="323"/>
      <c r="O390" s="323"/>
      <c r="P390" s="323"/>
      <c r="Q390" s="323"/>
    </row>
    <row r="391" spans="6:17" ht="25.35" customHeight="1">
      <c r="F391" s="331"/>
      <c r="G391" s="323"/>
      <c r="H391" s="323"/>
      <c r="I391" s="323"/>
      <c r="J391" s="323"/>
      <c r="K391" s="323"/>
      <c r="L391" s="323"/>
      <c r="M391" s="323"/>
      <c r="N391" s="323"/>
      <c r="O391" s="323"/>
      <c r="P391" s="323"/>
      <c r="Q391" s="323"/>
    </row>
    <row r="392" spans="6:17" ht="25.35" customHeight="1">
      <c r="F392" s="331"/>
      <c r="G392" s="323"/>
      <c r="H392" s="323"/>
      <c r="I392" s="323"/>
      <c r="J392" s="323"/>
      <c r="K392" s="323"/>
      <c r="L392" s="323"/>
      <c r="M392" s="323"/>
      <c r="N392" s="323"/>
      <c r="O392" s="323"/>
      <c r="P392" s="323"/>
      <c r="Q392" s="323"/>
    </row>
    <row r="393" spans="6:17" ht="25.35" customHeight="1">
      <c r="F393" s="331"/>
      <c r="G393" s="323"/>
      <c r="H393" s="323"/>
      <c r="I393" s="323"/>
      <c r="J393" s="323"/>
      <c r="K393" s="323"/>
      <c r="L393" s="323"/>
      <c r="M393" s="323"/>
      <c r="N393" s="323"/>
      <c r="O393" s="323"/>
      <c r="P393" s="323"/>
      <c r="Q393" s="323"/>
    </row>
    <row r="394" spans="6:17" ht="25.35" customHeight="1">
      <c r="F394" s="331"/>
      <c r="G394" s="323"/>
      <c r="H394" s="323"/>
      <c r="I394" s="323"/>
      <c r="J394" s="323"/>
      <c r="K394" s="323"/>
      <c r="L394" s="323"/>
      <c r="M394" s="323"/>
      <c r="N394" s="323"/>
      <c r="O394" s="323"/>
      <c r="P394" s="323"/>
      <c r="Q394" s="323"/>
    </row>
    <row r="395" spans="6:17" ht="25.35" customHeight="1">
      <c r="F395" s="331"/>
      <c r="G395" s="323"/>
      <c r="H395" s="323"/>
      <c r="I395" s="323"/>
      <c r="J395" s="323"/>
      <c r="K395" s="323"/>
      <c r="L395" s="323"/>
      <c r="M395" s="323"/>
      <c r="N395" s="323"/>
      <c r="O395" s="323"/>
      <c r="P395" s="323"/>
      <c r="Q395" s="323"/>
    </row>
    <row r="396" spans="6:17" ht="25.35" customHeight="1">
      <c r="F396" s="331"/>
      <c r="G396" s="323"/>
      <c r="H396" s="323"/>
      <c r="I396" s="323"/>
      <c r="J396" s="323"/>
      <c r="K396" s="323"/>
      <c r="L396" s="323"/>
      <c r="M396" s="323"/>
      <c r="N396" s="323"/>
      <c r="O396" s="323"/>
      <c r="P396" s="323"/>
      <c r="Q396" s="323"/>
    </row>
    <row r="397" spans="6:17" ht="25.35" customHeight="1">
      <c r="F397" s="331"/>
      <c r="G397" s="323"/>
      <c r="H397" s="323"/>
      <c r="I397" s="323"/>
      <c r="J397" s="323"/>
      <c r="K397" s="323"/>
      <c r="L397" s="323"/>
      <c r="M397" s="323"/>
      <c r="N397" s="323"/>
      <c r="O397" s="323"/>
      <c r="P397" s="323"/>
      <c r="Q397" s="323"/>
    </row>
    <row r="398" spans="6:17" ht="25.35" customHeight="1">
      <c r="F398" s="331"/>
      <c r="G398" s="323"/>
      <c r="H398" s="323"/>
      <c r="I398" s="323"/>
      <c r="J398" s="323"/>
      <c r="K398" s="323"/>
      <c r="L398" s="323"/>
      <c r="M398" s="323"/>
      <c r="N398" s="323"/>
      <c r="O398" s="323"/>
      <c r="P398" s="323"/>
      <c r="Q398" s="323"/>
    </row>
    <row r="399" spans="6:17" ht="25.35" customHeight="1">
      <c r="F399" s="331"/>
      <c r="G399" s="323"/>
      <c r="H399" s="323"/>
      <c r="I399" s="323"/>
      <c r="J399" s="323"/>
      <c r="K399" s="323"/>
      <c r="L399" s="323"/>
      <c r="M399" s="323"/>
      <c r="N399" s="323"/>
      <c r="O399" s="323"/>
      <c r="P399" s="323"/>
      <c r="Q399" s="323"/>
    </row>
    <row r="400" spans="6:17" ht="25.35" customHeight="1">
      <c r="F400" s="331"/>
      <c r="G400" s="323"/>
      <c r="H400" s="323"/>
      <c r="I400" s="323"/>
      <c r="J400" s="323"/>
      <c r="K400" s="323"/>
      <c r="L400" s="323"/>
      <c r="M400" s="323"/>
      <c r="N400" s="323"/>
      <c r="O400" s="323"/>
      <c r="P400" s="323"/>
      <c r="Q400" s="323"/>
    </row>
    <row r="401" spans="6:17" ht="25.35" customHeight="1">
      <c r="F401" s="331"/>
      <c r="G401" s="323"/>
      <c r="H401" s="323"/>
      <c r="I401" s="323"/>
      <c r="J401" s="323"/>
      <c r="K401" s="323"/>
      <c r="L401" s="323"/>
      <c r="M401" s="323"/>
      <c r="N401" s="323"/>
      <c r="O401" s="323"/>
      <c r="P401" s="323"/>
      <c r="Q401" s="323"/>
    </row>
    <row r="402" spans="6:17" ht="25.35" customHeight="1">
      <c r="F402" s="331"/>
      <c r="G402" s="323"/>
      <c r="H402" s="323"/>
      <c r="I402" s="323"/>
      <c r="J402" s="323"/>
      <c r="K402" s="323"/>
      <c r="L402" s="323"/>
      <c r="M402" s="323"/>
      <c r="N402" s="323"/>
      <c r="O402" s="323"/>
      <c r="P402" s="323"/>
      <c r="Q402" s="323"/>
    </row>
    <row r="403" spans="6:17" ht="25.35" customHeight="1">
      <c r="F403" s="331"/>
      <c r="G403" s="323"/>
      <c r="H403" s="323"/>
      <c r="I403" s="323"/>
      <c r="J403" s="323"/>
      <c r="K403" s="323"/>
      <c r="L403" s="323"/>
      <c r="M403" s="323"/>
      <c r="N403" s="323"/>
      <c r="O403" s="323"/>
      <c r="P403" s="323"/>
      <c r="Q403" s="323"/>
    </row>
    <row r="404" spans="6:17" ht="25.35" customHeight="1">
      <c r="F404" s="331"/>
      <c r="G404" s="323"/>
      <c r="H404" s="323"/>
      <c r="I404" s="323"/>
      <c r="J404" s="323"/>
      <c r="K404" s="323"/>
      <c r="L404" s="323"/>
      <c r="M404" s="323"/>
      <c r="N404" s="323"/>
      <c r="O404" s="323"/>
      <c r="P404" s="323"/>
      <c r="Q404" s="323"/>
    </row>
    <row r="405" spans="6:17" ht="25.35" customHeight="1">
      <c r="F405" s="331"/>
      <c r="G405" s="323"/>
      <c r="H405" s="323"/>
      <c r="I405" s="323"/>
      <c r="J405" s="323"/>
      <c r="K405" s="323"/>
      <c r="L405" s="323"/>
      <c r="M405" s="323"/>
      <c r="N405" s="323"/>
      <c r="O405" s="323"/>
      <c r="P405" s="323"/>
      <c r="Q405" s="323"/>
    </row>
    <row r="406" spans="6:17" ht="25.35" customHeight="1">
      <c r="F406" s="331"/>
      <c r="G406" s="323"/>
      <c r="H406" s="323"/>
      <c r="I406" s="323"/>
      <c r="J406" s="323"/>
      <c r="K406" s="323"/>
      <c r="L406" s="323"/>
      <c r="M406" s="323"/>
      <c r="N406" s="323"/>
      <c r="O406" s="323"/>
      <c r="P406" s="323"/>
      <c r="Q406" s="323"/>
    </row>
    <row r="407" spans="6:17" ht="25.35" customHeight="1">
      <c r="F407" s="331"/>
      <c r="G407" s="323"/>
      <c r="H407" s="323"/>
      <c r="I407" s="323"/>
      <c r="J407" s="323"/>
      <c r="K407" s="323"/>
      <c r="L407" s="323"/>
      <c r="M407" s="323"/>
      <c r="N407" s="323"/>
      <c r="O407" s="323"/>
      <c r="P407" s="323"/>
      <c r="Q407" s="323"/>
    </row>
    <row r="408" spans="6:17" ht="25.35" customHeight="1">
      <c r="F408" s="331"/>
      <c r="G408" s="323"/>
      <c r="H408" s="323"/>
      <c r="I408" s="323"/>
      <c r="J408" s="323"/>
      <c r="K408" s="323"/>
      <c r="L408" s="323"/>
      <c r="M408" s="323"/>
      <c r="N408" s="323"/>
      <c r="O408" s="323"/>
      <c r="P408" s="323"/>
      <c r="Q408" s="323"/>
    </row>
    <row r="409" spans="6:17" ht="25.35" customHeight="1">
      <c r="F409" s="331"/>
      <c r="G409" s="323"/>
      <c r="H409" s="323"/>
      <c r="I409" s="323"/>
      <c r="J409" s="323"/>
      <c r="K409" s="323"/>
      <c r="L409" s="323"/>
      <c r="M409" s="323"/>
      <c r="N409" s="323"/>
      <c r="O409" s="323"/>
      <c r="P409" s="323"/>
      <c r="Q409" s="323"/>
    </row>
    <row r="410" spans="6:17" ht="25.35" customHeight="1">
      <c r="F410" s="331"/>
      <c r="G410" s="323"/>
      <c r="H410" s="323"/>
      <c r="I410" s="323"/>
      <c r="J410" s="323"/>
      <c r="K410" s="323"/>
      <c r="L410" s="323"/>
      <c r="M410" s="323"/>
      <c r="N410" s="323"/>
      <c r="O410" s="323"/>
      <c r="P410" s="323"/>
      <c r="Q410" s="323"/>
    </row>
    <row r="411" spans="6:17" ht="25.35" customHeight="1">
      <c r="F411" s="331"/>
      <c r="G411" s="323"/>
      <c r="H411" s="323"/>
      <c r="I411" s="323"/>
      <c r="J411" s="323"/>
      <c r="K411" s="323"/>
      <c r="L411" s="323"/>
      <c r="M411" s="323"/>
      <c r="N411" s="323"/>
      <c r="O411" s="323"/>
      <c r="P411" s="323"/>
      <c r="Q411" s="323"/>
    </row>
    <row r="412" spans="6:17" ht="25.35" customHeight="1">
      <c r="F412" s="331"/>
      <c r="G412" s="323"/>
      <c r="H412" s="323"/>
      <c r="I412" s="323"/>
      <c r="J412" s="323"/>
      <c r="K412" s="323"/>
      <c r="L412" s="323"/>
      <c r="M412" s="323"/>
      <c r="N412" s="323"/>
      <c r="O412" s="323"/>
      <c r="P412" s="323"/>
      <c r="Q412" s="323"/>
    </row>
    <row r="413" spans="6:17" ht="25.35" customHeight="1">
      <c r="F413" s="331"/>
      <c r="G413" s="323"/>
      <c r="H413" s="323"/>
      <c r="I413" s="323"/>
      <c r="J413" s="323"/>
      <c r="K413" s="323"/>
      <c r="L413" s="323"/>
      <c r="M413" s="323"/>
      <c r="N413" s="323"/>
      <c r="O413" s="323"/>
      <c r="P413" s="323"/>
      <c r="Q413" s="323"/>
    </row>
    <row r="414" spans="6:17" ht="25.35" customHeight="1">
      <c r="F414" s="331"/>
      <c r="G414" s="323"/>
      <c r="H414" s="323"/>
      <c r="I414" s="323"/>
      <c r="J414" s="323"/>
      <c r="K414" s="323"/>
      <c r="L414" s="323"/>
      <c r="M414" s="323"/>
      <c r="N414" s="323"/>
      <c r="O414" s="323"/>
      <c r="P414" s="323"/>
      <c r="Q414" s="323"/>
    </row>
    <row r="415" spans="6:17" ht="25.35" customHeight="1">
      <c r="F415" s="331"/>
      <c r="G415" s="323"/>
      <c r="H415" s="323"/>
      <c r="I415" s="323"/>
      <c r="J415" s="323"/>
      <c r="K415" s="323"/>
      <c r="L415" s="323"/>
      <c r="M415" s="323"/>
      <c r="N415" s="323"/>
      <c r="O415" s="323"/>
      <c r="P415" s="323"/>
      <c r="Q415" s="323"/>
    </row>
    <row r="416" spans="6:17" ht="25.35" customHeight="1">
      <c r="F416" s="331"/>
      <c r="G416" s="323"/>
      <c r="H416" s="323"/>
      <c r="I416" s="323"/>
      <c r="J416" s="323"/>
      <c r="K416" s="323"/>
      <c r="L416" s="323"/>
      <c r="M416" s="323"/>
      <c r="N416" s="323"/>
      <c r="O416" s="323"/>
      <c r="P416" s="323"/>
      <c r="Q416" s="323"/>
    </row>
    <row r="417" spans="6:17" ht="25.35" customHeight="1">
      <c r="F417" s="331"/>
      <c r="G417" s="323"/>
      <c r="H417" s="323"/>
      <c r="I417" s="323"/>
      <c r="J417" s="323"/>
      <c r="K417" s="323"/>
      <c r="L417" s="323"/>
      <c r="M417" s="323"/>
      <c r="N417" s="323"/>
      <c r="O417" s="323"/>
      <c r="P417" s="323"/>
      <c r="Q417" s="323"/>
    </row>
    <row r="418" spans="6:17" ht="25.35" customHeight="1">
      <c r="F418" s="331"/>
      <c r="G418" s="323"/>
      <c r="H418" s="323"/>
      <c r="I418" s="323"/>
      <c r="J418" s="323"/>
      <c r="K418" s="323"/>
      <c r="L418" s="323"/>
      <c r="M418" s="323"/>
      <c r="N418" s="323"/>
      <c r="O418" s="323"/>
      <c r="P418" s="323"/>
      <c r="Q418" s="323"/>
    </row>
    <row r="419" spans="6:17" ht="25.35" customHeight="1">
      <c r="F419" s="331"/>
      <c r="G419" s="323"/>
      <c r="H419" s="323"/>
      <c r="I419" s="323"/>
      <c r="J419" s="323"/>
      <c r="K419" s="323"/>
      <c r="L419" s="323"/>
      <c r="M419" s="323"/>
      <c r="N419" s="323"/>
      <c r="O419" s="323"/>
      <c r="P419" s="323"/>
      <c r="Q419" s="323"/>
    </row>
    <row r="420" spans="6:17" ht="25.35" customHeight="1">
      <c r="F420" s="331"/>
      <c r="G420" s="323"/>
      <c r="H420" s="323"/>
      <c r="I420" s="323"/>
      <c r="J420" s="323"/>
      <c r="K420" s="323"/>
      <c r="L420" s="323"/>
      <c r="M420" s="323"/>
      <c r="N420" s="323"/>
      <c r="O420" s="323"/>
      <c r="P420" s="323"/>
      <c r="Q420" s="323"/>
    </row>
    <row r="421" spans="6:17" ht="25.35" customHeight="1">
      <c r="F421" s="331"/>
      <c r="G421" s="323"/>
      <c r="H421" s="323"/>
      <c r="I421" s="323"/>
      <c r="J421" s="323"/>
      <c r="K421" s="323"/>
      <c r="L421" s="323"/>
      <c r="M421" s="323"/>
      <c r="N421" s="323"/>
      <c r="O421" s="323"/>
      <c r="P421" s="323"/>
      <c r="Q421" s="323"/>
    </row>
    <row r="422" spans="6:17" ht="25.35" customHeight="1">
      <c r="F422" s="331"/>
      <c r="G422" s="323"/>
      <c r="H422" s="323"/>
      <c r="I422" s="323"/>
      <c r="J422" s="323"/>
      <c r="K422" s="323"/>
      <c r="L422" s="323"/>
      <c r="M422" s="323"/>
      <c r="N422" s="323"/>
      <c r="O422" s="323"/>
      <c r="P422" s="323"/>
      <c r="Q422" s="323"/>
    </row>
    <row r="423" spans="6:17" ht="25.35" customHeight="1">
      <c r="F423" s="331"/>
      <c r="G423" s="323"/>
      <c r="H423" s="323"/>
      <c r="I423" s="323"/>
      <c r="J423" s="323"/>
      <c r="K423" s="323"/>
      <c r="L423" s="323"/>
      <c r="M423" s="323"/>
      <c r="N423" s="323"/>
      <c r="O423" s="323"/>
      <c r="P423" s="323"/>
      <c r="Q423" s="323"/>
    </row>
    <row r="424" spans="6:17" ht="25.35" customHeight="1">
      <c r="F424" s="331"/>
      <c r="G424" s="323"/>
      <c r="H424" s="323"/>
      <c r="I424" s="323"/>
      <c r="J424" s="323"/>
      <c r="K424" s="323"/>
      <c r="L424" s="323"/>
      <c r="M424" s="323"/>
      <c r="N424" s="323"/>
      <c r="O424" s="323"/>
      <c r="P424" s="323"/>
      <c r="Q424" s="323"/>
    </row>
    <row r="425" spans="6:17" ht="25.35" customHeight="1">
      <c r="F425" s="331"/>
      <c r="G425" s="323"/>
      <c r="H425" s="323"/>
      <c r="I425" s="323"/>
      <c r="J425" s="323"/>
      <c r="K425" s="323"/>
      <c r="L425" s="323"/>
      <c r="M425" s="323"/>
      <c r="N425" s="323"/>
      <c r="O425" s="323"/>
      <c r="P425" s="323"/>
      <c r="Q425" s="323"/>
    </row>
    <row r="426" spans="6:17" ht="25.35" customHeight="1">
      <c r="F426" s="331"/>
      <c r="G426" s="323"/>
      <c r="H426" s="323"/>
      <c r="I426" s="323"/>
      <c r="J426" s="323"/>
      <c r="K426" s="323"/>
      <c r="L426" s="323"/>
      <c r="M426" s="323"/>
      <c r="N426" s="323"/>
      <c r="O426" s="323"/>
      <c r="P426" s="323"/>
      <c r="Q426" s="323"/>
    </row>
    <row r="427" spans="6:17" ht="25.35" customHeight="1">
      <c r="F427" s="331"/>
      <c r="G427" s="323"/>
      <c r="H427" s="323"/>
      <c r="I427" s="323"/>
      <c r="J427" s="323"/>
      <c r="K427" s="323"/>
      <c r="L427" s="323"/>
      <c r="M427" s="323"/>
      <c r="N427" s="323"/>
      <c r="O427" s="323"/>
      <c r="P427" s="323"/>
      <c r="Q427" s="323"/>
    </row>
    <row r="428" spans="6:17" ht="25.35" customHeight="1">
      <c r="F428" s="331"/>
      <c r="G428" s="323"/>
      <c r="H428" s="323"/>
      <c r="I428" s="323"/>
      <c r="J428" s="323"/>
      <c r="K428" s="323"/>
      <c r="L428" s="323"/>
      <c r="M428" s="323"/>
      <c r="N428" s="323"/>
      <c r="O428" s="323"/>
      <c r="P428" s="323"/>
      <c r="Q428" s="323"/>
    </row>
    <row r="429" spans="6:17" ht="25.35" customHeight="1">
      <c r="F429" s="331"/>
      <c r="G429" s="323"/>
      <c r="H429" s="323"/>
      <c r="I429" s="323"/>
      <c r="J429" s="323"/>
      <c r="K429" s="323"/>
      <c r="L429" s="323"/>
      <c r="M429" s="323"/>
      <c r="N429" s="323"/>
      <c r="O429" s="323"/>
      <c r="P429" s="323"/>
      <c r="Q429" s="323"/>
    </row>
    <row r="430" spans="6:17" ht="25.35" customHeight="1">
      <c r="F430" s="331"/>
      <c r="G430" s="323"/>
      <c r="H430" s="323"/>
      <c r="I430" s="323"/>
      <c r="J430" s="323"/>
      <c r="K430" s="323"/>
      <c r="L430" s="323"/>
      <c r="M430" s="323"/>
      <c r="N430" s="323"/>
      <c r="O430" s="323"/>
      <c r="P430" s="323"/>
      <c r="Q430" s="323"/>
    </row>
    <row r="431" spans="6:17" ht="25.35" customHeight="1">
      <c r="F431" s="331"/>
      <c r="G431" s="323"/>
      <c r="H431" s="323"/>
      <c r="I431" s="323"/>
      <c r="J431" s="323"/>
      <c r="K431" s="323"/>
      <c r="L431" s="323"/>
      <c r="M431" s="323"/>
      <c r="N431" s="323"/>
      <c r="O431" s="323"/>
      <c r="P431" s="323"/>
      <c r="Q431" s="323"/>
    </row>
    <row r="432" spans="6:17" ht="25.35" customHeight="1">
      <c r="F432" s="331"/>
      <c r="G432" s="323"/>
      <c r="H432" s="323"/>
      <c r="I432" s="323"/>
      <c r="J432" s="323"/>
      <c r="K432" s="323"/>
      <c r="L432" s="323"/>
      <c r="M432" s="323"/>
      <c r="N432" s="323"/>
      <c r="O432" s="323"/>
      <c r="P432" s="323"/>
      <c r="Q432" s="323"/>
    </row>
    <row r="433" spans="6:17" ht="25.35" customHeight="1">
      <c r="F433" s="331"/>
      <c r="G433" s="323"/>
      <c r="H433" s="323"/>
      <c r="I433" s="323"/>
      <c r="J433" s="323"/>
      <c r="K433" s="323"/>
      <c r="L433" s="323"/>
      <c r="M433" s="323"/>
      <c r="N433" s="323"/>
      <c r="O433" s="323"/>
      <c r="P433" s="323"/>
      <c r="Q433" s="323"/>
    </row>
    <row r="434" spans="6:17" ht="25.35" customHeight="1">
      <c r="F434" s="331"/>
      <c r="G434" s="323"/>
      <c r="H434" s="323"/>
      <c r="I434" s="323"/>
      <c r="J434" s="323"/>
      <c r="K434" s="323"/>
      <c r="L434" s="323"/>
      <c r="M434" s="323"/>
      <c r="N434" s="323"/>
      <c r="O434" s="323"/>
      <c r="P434" s="323"/>
      <c r="Q434" s="323"/>
    </row>
    <row r="435" spans="6:17" ht="25.35" customHeight="1">
      <c r="F435" s="331"/>
      <c r="G435" s="323"/>
      <c r="H435" s="323"/>
      <c r="I435" s="323"/>
      <c r="J435" s="323"/>
      <c r="K435" s="323"/>
      <c r="L435" s="323"/>
      <c r="M435" s="323"/>
      <c r="N435" s="323"/>
      <c r="O435" s="323"/>
      <c r="P435" s="323"/>
      <c r="Q435" s="323"/>
    </row>
    <row r="436" spans="6:17" ht="25.35" customHeight="1">
      <c r="F436" s="331"/>
      <c r="G436" s="323"/>
      <c r="H436" s="323"/>
      <c r="I436" s="323"/>
      <c r="J436" s="323"/>
      <c r="K436" s="323"/>
      <c r="L436" s="323"/>
      <c r="M436" s="323"/>
      <c r="N436" s="323"/>
      <c r="O436" s="323"/>
      <c r="P436" s="323"/>
      <c r="Q436" s="323"/>
    </row>
    <row r="437" spans="6:17" ht="25.35" customHeight="1">
      <c r="F437" s="331"/>
      <c r="G437" s="323"/>
      <c r="H437" s="323"/>
      <c r="I437" s="323"/>
      <c r="J437" s="323"/>
      <c r="K437" s="323"/>
      <c r="L437" s="323"/>
      <c r="M437" s="323"/>
      <c r="N437" s="323"/>
      <c r="O437" s="323"/>
      <c r="P437" s="323"/>
      <c r="Q437" s="323"/>
    </row>
    <row r="438" spans="6:17" ht="25.35" customHeight="1">
      <c r="F438" s="331"/>
      <c r="G438" s="323"/>
      <c r="H438" s="323"/>
      <c r="I438" s="323"/>
      <c r="J438" s="323"/>
      <c r="K438" s="323"/>
      <c r="L438" s="323"/>
      <c r="M438" s="323"/>
      <c r="N438" s="323"/>
      <c r="O438" s="323"/>
      <c r="P438" s="323"/>
      <c r="Q438" s="323"/>
    </row>
    <row r="439" spans="6:17" ht="25.35" customHeight="1">
      <c r="F439" s="331"/>
      <c r="G439" s="323"/>
      <c r="H439" s="323"/>
      <c r="I439" s="323"/>
      <c r="J439" s="323"/>
      <c r="K439" s="323"/>
      <c r="L439" s="323"/>
      <c r="M439" s="323"/>
      <c r="N439" s="323"/>
      <c r="O439" s="323"/>
      <c r="P439" s="323"/>
      <c r="Q439" s="323"/>
    </row>
    <row r="440" spans="6:17" ht="25.35" customHeight="1">
      <c r="F440" s="331"/>
      <c r="G440" s="323"/>
      <c r="H440" s="323"/>
      <c r="I440" s="323"/>
      <c r="J440" s="323"/>
      <c r="K440" s="323"/>
      <c r="L440" s="323"/>
      <c r="M440" s="323"/>
      <c r="N440" s="323"/>
      <c r="O440" s="323"/>
      <c r="P440" s="323"/>
      <c r="Q440" s="323"/>
    </row>
    <row r="441" spans="6:17" ht="25.35" customHeight="1">
      <c r="F441" s="331"/>
      <c r="G441" s="323"/>
      <c r="H441" s="323"/>
      <c r="I441" s="323"/>
      <c r="J441" s="323"/>
      <c r="K441" s="323"/>
      <c r="L441" s="323"/>
      <c r="M441" s="323"/>
      <c r="N441" s="323"/>
      <c r="O441" s="323"/>
      <c r="P441" s="323"/>
      <c r="Q441" s="323"/>
    </row>
    <row r="442" spans="6:17" ht="25.35" customHeight="1">
      <c r="F442" s="331"/>
      <c r="G442" s="323"/>
      <c r="H442" s="323"/>
      <c r="I442" s="323"/>
      <c r="J442" s="323"/>
      <c r="K442" s="323"/>
      <c r="L442" s="323"/>
      <c r="M442" s="323"/>
      <c r="N442" s="323"/>
      <c r="O442" s="323"/>
      <c r="P442" s="323"/>
      <c r="Q442" s="323"/>
    </row>
    <row r="443" spans="6:17" ht="25.35" customHeight="1">
      <c r="F443" s="331"/>
      <c r="G443" s="323"/>
      <c r="H443" s="323"/>
      <c r="I443" s="323"/>
      <c r="J443" s="323"/>
      <c r="K443" s="323"/>
      <c r="L443" s="323"/>
      <c r="M443" s="323"/>
      <c r="N443" s="323"/>
      <c r="O443" s="323"/>
      <c r="P443" s="323"/>
      <c r="Q443" s="323"/>
    </row>
    <row r="444" spans="6:17" ht="25.35" customHeight="1">
      <c r="F444" s="331"/>
      <c r="G444" s="323"/>
      <c r="H444" s="323"/>
      <c r="I444" s="323"/>
      <c r="J444" s="323"/>
      <c r="K444" s="323"/>
      <c r="L444" s="323"/>
      <c r="M444" s="323"/>
      <c r="N444" s="323"/>
      <c r="O444" s="323"/>
      <c r="P444" s="323"/>
      <c r="Q444" s="323"/>
    </row>
    <row r="445" spans="6:17" ht="25.35" customHeight="1">
      <c r="F445" s="331"/>
      <c r="G445" s="323"/>
      <c r="H445" s="323"/>
      <c r="I445" s="323"/>
      <c r="J445" s="323"/>
      <c r="K445" s="323"/>
      <c r="L445" s="323"/>
      <c r="M445" s="323"/>
      <c r="N445" s="323"/>
      <c r="O445" s="323"/>
      <c r="P445" s="323"/>
      <c r="Q445" s="323"/>
    </row>
    <row r="446" spans="6:17" ht="25.35" customHeight="1">
      <c r="F446" s="331"/>
      <c r="G446" s="323"/>
      <c r="H446" s="323"/>
      <c r="I446" s="323"/>
      <c r="J446" s="323"/>
      <c r="K446" s="323"/>
      <c r="L446" s="323"/>
      <c r="M446" s="323"/>
      <c r="N446" s="323"/>
      <c r="O446" s="323"/>
      <c r="P446" s="323"/>
      <c r="Q446" s="323"/>
    </row>
    <row r="447" spans="6:17" ht="25.35" customHeight="1">
      <c r="F447" s="331"/>
      <c r="G447" s="323"/>
      <c r="H447" s="323"/>
      <c r="I447" s="323"/>
      <c r="J447" s="323"/>
      <c r="K447" s="323"/>
      <c r="L447" s="323"/>
      <c r="M447" s="323"/>
      <c r="N447" s="323"/>
      <c r="O447" s="323"/>
      <c r="P447" s="323"/>
      <c r="Q447" s="323"/>
    </row>
    <row r="448" spans="6:17" ht="25.35" customHeight="1">
      <c r="F448" s="331"/>
      <c r="G448" s="323"/>
      <c r="H448" s="323"/>
      <c r="I448" s="323"/>
      <c r="J448" s="323"/>
      <c r="K448" s="323"/>
      <c r="L448" s="323"/>
      <c r="M448" s="323"/>
      <c r="N448" s="323"/>
      <c r="O448" s="323"/>
      <c r="P448" s="323"/>
      <c r="Q448" s="323"/>
    </row>
    <row r="449" spans="6:17" ht="25.35" customHeight="1">
      <c r="F449" s="331"/>
      <c r="G449" s="323"/>
      <c r="H449" s="323"/>
      <c r="I449" s="323"/>
      <c r="J449" s="323"/>
      <c r="K449" s="323"/>
      <c r="L449" s="323"/>
      <c r="M449" s="323"/>
      <c r="N449" s="323"/>
      <c r="O449" s="323"/>
      <c r="P449" s="323"/>
      <c r="Q449" s="323"/>
    </row>
    <row r="450" spans="6:17" ht="25.35" customHeight="1">
      <c r="F450" s="331"/>
      <c r="G450" s="323"/>
      <c r="H450" s="323"/>
      <c r="I450" s="323"/>
      <c r="J450" s="323"/>
      <c r="K450" s="323"/>
      <c r="L450" s="323"/>
      <c r="M450" s="323"/>
      <c r="N450" s="323"/>
      <c r="O450" s="323"/>
      <c r="P450" s="323"/>
      <c r="Q450" s="323"/>
    </row>
    <row r="451" spans="6:17" ht="25.35" customHeight="1">
      <c r="F451" s="331"/>
      <c r="G451" s="323"/>
      <c r="H451" s="323"/>
      <c r="I451" s="323"/>
      <c r="J451" s="323"/>
      <c r="K451" s="323"/>
      <c r="L451" s="323"/>
      <c r="M451" s="323"/>
      <c r="N451" s="323"/>
      <c r="O451" s="323"/>
      <c r="P451" s="323"/>
      <c r="Q451" s="323"/>
    </row>
    <row r="452" spans="6:17" ht="25.35" customHeight="1">
      <c r="F452" s="331"/>
      <c r="G452" s="323"/>
      <c r="H452" s="323"/>
      <c r="I452" s="323"/>
      <c r="J452" s="323"/>
      <c r="K452" s="323"/>
      <c r="L452" s="323"/>
      <c r="M452" s="323"/>
      <c r="N452" s="323"/>
      <c r="O452" s="323"/>
      <c r="P452" s="323"/>
      <c r="Q452" s="323"/>
    </row>
    <row r="453" spans="6:17" ht="25.35" customHeight="1">
      <c r="F453" s="331"/>
      <c r="G453" s="323"/>
      <c r="H453" s="323"/>
      <c r="I453" s="323"/>
      <c r="J453" s="323"/>
      <c r="K453" s="323"/>
      <c r="L453" s="323"/>
      <c r="M453" s="323"/>
      <c r="N453" s="323"/>
      <c r="O453" s="323"/>
      <c r="P453" s="323"/>
      <c r="Q453" s="323"/>
    </row>
    <row r="454" spans="6:17" ht="25.35" customHeight="1">
      <c r="F454" s="331"/>
      <c r="G454" s="323"/>
      <c r="H454" s="323"/>
      <c r="I454" s="323"/>
      <c r="J454" s="323"/>
      <c r="K454" s="323"/>
      <c r="L454" s="323"/>
      <c r="M454" s="323"/>
      <c r="N454" s="323"/>
      <c r="O454" s="323"/>
      <c r="P454" s="323"/>
      <c r="Q454" s="323"/>
    </row>
    <row r="455" spans="6:17" ht="25.35" customHeight="1">
      <c r="F455" s="331"/>
      <c r="G455" s="323"/>
      <c r="H455" s="323"/>
      <c r="I455" s="323"/>
      <c r="J455" s="323"/>
      <c r="K455" s="323"/>
      <c r="L455" s="323"/>
      <c r="M455" s="323"/>
      <c r="N455" s="323"/>
      <c r="O455" s="323"/>
      <c r="P455" s="323"/>
      <c r="Q455" s="323"/>
    </row>
    <row r="456" spans="6:17" ht="25.35" customHeight="1">
      <c r="F456" s="331"/>
      <c r="G456" s="323"/>
      <c r="H456" s="323"/>
      <c r="I456" s="323"/>
      <c r="J456" s="323"/>
      <c r="K456" s="323"/>
      <c r="L456" s="323"/>
      <c r="M456" s="323"/>
      <c r="N456" s="323"/>
      <c r="O456" s="323"/>
      <c r="P456" s="323"/>
      <c r="Q456" s="323"/>
    </row>
    <row r="457" spans="6:17" ht="25.35" customHeight="1">
      <c r="F457" s="331"/>
      <c r="G457" s="323"/>
      <c r="H457" s="323"/>
      <c r="I457" s="323"/>
      <c r="J457" s="323"/>
      <c r="K457" s="323"/>
      <c r="L457" s="323"/>
      <c r="M457" s="323"/>
      <c r="N457" s="323"/>
      <c r="O457" s="323"/>
      <c r="P457" s="323"/>
      <c r="Q457" s="323"/>
    </row>
    <row r="458" spans="6:17" ht="25.35" customHeight="1">
      <c r="F458" s="331"/>
      <c r="G458" s="323"/>
      <c r="H458" s="323"/>
      <c r="I458" s="323"/>
      <c r="J458" s="323"/>
      <c r="K458" s="323"/>
      <c r="L458" s="323"/>
      <c r="M458" s="323"/>
      <c r="N458" s="323"/>
      <c r="O458" s="323"/>
      <c r="P458" s="323"/>
      <c r="Q458" s="323"/>
    </row>
    <row r="459" spans="6:17">
      <c r="F459" s="331"/>
      <c r="G459" s="323"/>
      <c r="H459" s="323"/>
      <c r="I459" s="323"/>
      <c r="J459" s="323"/>
      <c r="K459" s="323"/>
      <c r="L459" s="323"/>
      <c r="M459" s="323"/>
      <c r="N459" s="323"/>
      <c r="O459" s="323"/>
      <c r="P459" s="323"/>
      <c r="Q459" s="323"/>
    </row>
    <row r="460" spans="6:17">
      <c r="F460" s="331"/>
      <c r="G460" s="323"/>
      <c r="H460" s="323"/>
      <c r="I460" s="323"/>
      <c r="J460" s="323"/>
      <c r="K460" s="323"/>
      <c r="L460" s="323"/>
      <c r="M460" s="323"/>
      <c r="N460" s="323"/>
      <c r="O460" s="323"/>
      <c r="P460" s="323"/>
      <c r="Q460" s="323"/>
    </row>
    <row r="461" spans="6:17">
      <c r="F461" s="331"/>
      <c r="G461" s="323"/>
      <c r="H461" s="323"/>
      <c r="I461" s="323"/>
      <c r="J461" s="323"/>
      <c r="K461" s="323"/>
      <c r="L461" s="323"/>
      <c r="M461" s="323"/>
      <c r="N461" s="323"/>
      <c r="O461" s="323"/>
      <c r="P461" s="323"/>
      <c r="Q461" s="323"/>
    </row>
    <row r="462" spans="6:17">
      <c r="F462" s="331"/>
      <c r="G462" s="323"/>
      <c r="H462" s="323"/>
      <c r="I462" s="323"/>
      <c r="J462" s="323"/>
      <c r="K462" s="323"/>
      <c r="L462" s="323"/>
      <c r="M462" s="323"/>
      <c r="N462" s="323"/>
      <c r="O462" s="323"/>
      <c r="P462" s="323"/>
      <c r="Q462" s="323"/>
    </row>
    <row r="463" spans="6:17">
      <c r="F463" s="331"/>
      <c r="G463" s="323"/>
      <c r="H463" s="323"/>
      <c r="I463" s="323"/>
      <c r="J463" s="323"/>
      <c r="K463" s="323"/>
      <c r="L463" s="323"/>
      <c r="M463" s="323"/>
      <c r="N463" s="323"/>
      <c r="O463" s="323"/>
      <c r="P463" s="323"/>
      <c r="Q463" s="323"/>
    </row>
    <row r="464" spans="6:17">
      <c r="F464" s="331"/>
      <c r="G464" s="323"/>
      <c r="H464" s="323"/>
      <c r="I464" s="323"/>
      <c r="J464" s="323"/>
      <c r="K464" s="323"/>
      <c r="L464" s="323"/>
      <c r="M464" s="323"/>
      <c r="N464" s="323"/>
      <c r="O464" s="323"/>
      <c r="P464" s="323"/>
      <c r="Q464" s="323"/>
    </row>
    <row r="465" spans="6:17">
      <c r="F465" s="331"/>
      <c r="G465" s="323"/>
      <c r="H465" s="323"/>
      <c r="I465" s="323"/>
      <c r="J465" s="323"/>
      <c r="K465" s="323"/>
      <c r="L465" s="323"/>
      <c r="M465" s="323"/>
      <c r="N465" s="323"/>
      <c r="O465" s="323"/>
      <c r="P465" s="323"/>
      <c r="Q465" s="323"/>
    </row>
    <row r="466" spans="6:17">
      <c r="F466" s="331"/>
      <c r="G466" s="323"/>
      <c r="H466" s="323"/>
      <c r="I466" s="323"/>
      <c r="J466" s="323"/>
      <c r="K466" s="323"/>
      <c r="L466" s="323"/>
      <c r="M466" s="323"/>
      <c r="N466" s="323"/>
      <c r="O466" s="323"/>
      <c r="P466" s="323"/>
      <c r="Q466" s="323"/>
    </row>
    <row r="467" spans="6:17">
      <c r="F467" s="331"/>
      <c r="G467" s="323"/>
      <c r="H467" s="323"/>
      <c r="I467" s="323"/>
      <c r="J467" s="323"/>
      <c r="K467" s="323"/>
      <c r="L467" s="323"/>
      <c r="M467" s="323"/>
      <c r="N467" s="323"/>
      <c r="O467" s="323"/>
      <c r="P467" s="323"/>
      <c r="Q467" s="323"/>
    </row>
    <row r="468" spans="6:17">
      <c r="F468" s="331"/>
      <c r="G468" s="323"/>
      <c r="H468" s="323"/>
      <c r="I468" s="323"/>
      <c r="J468" s="323"/>
      <c r="K468" s="323"/>
      <c r="L468" s="323"/>
      <c r="M468" s="323"/>
      <c r="N468" s="323"/>
      <c r="O468" s="323"/>
      <c r="P468" s="323"/>
      <c r="Q468" s="323"/>
    </row>
    <row r="469" spans="6:17">
      <c r="F469" s="331"/>
      <c r="G469" s="323"/>
      <c r="H469" s="323"/>
      <c r="I469" s="323"/>
      <c r="J469" s="323"/>
      <c r="K469" s="323"/>
      <c r="L469" s="323"/>
      <c r="M469" s="323"/>
      <c r="N469" s="323"/>
      <c r="O469" s="323"/>
      <c r="P469" s="323"/>
      <c r="Q469" s="323"/>
    </row>
    <row r="470" spans="6:17">
      <c r="F470" s="331"/>
      <c r="G470" s="323"/>
      <c r="H470" s="323"/>
      <c r="I470" s="323"/>
      <c r="J470" s="323"/>
      <c r="K470" s="323"/>
      <c r="L470" s="323"/>
      <c r="M470" s="323"/>
      <c r="N470" s="323"/>
      <c r="O470" s="323"/>
      <c r="P470" s="323"/>
      <c r="Q470" s="323"/>
    </row>
    <row r="471" spans="6:17">
      <c r="F471" s="331"/>
      <c r="G471" s="323"/>
      <c r="H471" s="323"/>
      <c r="I471" s="323"/>
      <c r="J471" s="323"/>
      <c r="K471" s="323"/>
      <c r="L471" s="323"/>
      <c r="M471" s="323"/>
      <c r="N471" s="323"/>
      <c r="O471" s="323"/>
      <c r="P471" s="323"/>
      <c r="Q471" s="323"/>
    </row>
    <row r="472" spans="6:17">
      <c r="F472" s="331"/>
      <c r="G472" s="323"/>
      <c r="H472" s="323"/>
      <c r="I472" s="323"/>
      <c r="J472" s="323"/>
      <c r="K472" s="323"/>
      <c r="L472" s="323"/>
      <c r="M472" s="323"/>
      <c r="N472" s="323"/>
      <c r="O472" s="323"/>
      <c r="P472" s="323"/>
      <c r="Q472" s="323"/>
    </row>
    <row r="473" spans="6:17">
      <c r="F473" s="331"/>
      <c r="G473" s="323"/>
      <c r="H473" s="323"/>
      <c r="I473" s="323"/>
      <c r="J473" s="323"/>
      <c r="K473" s="323"/>
      <c r="L473" s="323"/>
      <c r="M473" s="323"/>
      <c r="N473" s="323"/>
      <c r="O473" s="323"/>
      <c r="P473" s="323"/>
      <c r="Q473" s="323"/>
    </row>
    <row r="474" spans="6:17">
      <c r="F474" s="331"/>
      <c r="G474" s="323"/>
      <c r="H474" s="323"/>
      <c r="I474" s="323"/>
      <c r="J474" s="323"/>
      <c r="K474" s="323"/>
      <c r="L474" s="323"/>
      <c r="M474" s="323"/>
      <c r="N474" s="323"/>
      <c r="O474" s="323"/>
      <c r="P474" s="323"/>
      <c r="Q474" s="323"/>
    </row>
    <row r="475" spans="6:17">
      <c r="F475" s="331"/>
      <c r="G475" s="323"/>
      <c r="H475" s="323"/>
      <c r="I475" s="323"/>
      <c r="J475" s="323"/>
      <c r="K475" s="323"/>
      <c r="L475" s="323"/>
      <c r="M475" s="323"/>
      <c r="N475" s="323"/>
      <c r="O475" s="323"/>
      <c r="P475" s="323"/>
      <c r="Q475" s="323"/>
    </row>
    <row r="476" spans="6:17">
      <c r="F476" s="331"/>
      <c r="G476" s="323"/>
      <c r="H476" s="323"/>
      <c r="I476" s="323"/>
      <c r="J476" s="323"/>
      <c r="K476" s="323"/>
      <c r="L476" s="323"/>
      <c r="M476" s="323"/>
      <c r="N476" s="323"/>
      <c r="O476" s="323"/>
      <c r="P476" s="323"/>
      <c r="Q476" s="323"/>
    </row>
    <row r="477" spans="6:17">
      <c r="F477" s="331"/>
      <c r="G477" s="323"/>
      <c r="H477" s="323"/>
      <c r="I477" s="323"/>
      <c r="J477" s="323"/>
      <c r="K477" s="323"/>
      <c r="L477" s="323"/>
      <c r="M477" s="323"/>
      <c r="N477" s="323"/>
      <c r="O477" s="323"/>
      <c r="P477" s="323"/>
      <c r="Q477" s="323"/>
    </row>
    <row r="478" spans="6:17">
      <c r="F478" s="331"/>
      <c r="G478" s="323"/>
      <c r="H478" s="323"/>
      <c r="I478" s="323"/>
      <c r="J478" s="323"/>
      <c r="K478" s="323"/>
      <c r="L478" s="323"/>
      <c r="M478" s="323"/>
      <c r="N478" s="323"/>
      <c r="O478" s="323"/>
      <c r="P478" s="323"/>
      <c r="Q478" s="323"/>
    </row>
    <row r="479" spans="6:17">
      <c r="F479" s="331"/>
      <c r="G479" s="323"/>
      <c r="H479" s="323"/>
      <c r="I479" s="323"/>
      <c r="J479" s="323"/>
      <c r="K479" s="323"/>
      <c r="L479" s="323"/>
      <c r="M479" s="323"/>
      <c r="N479" s="323"/>
      <c r="O479" s="323"/>
      <c r="P479" s="323"/>
      <c r="Q479" s="323"/>
    </row>
    <row r="480" spans="6:17">
      <c r="F480" s="331"/>
      <c r="G480" s="323"/>
      <c r="H480" s="323"/>
      <c r="I480" s="323"/>
      <c r="J480" s="323"/>
      <c r="K480" s="323"/>
      <c r="L480" s="323"/>
      <c r="M480" s="323"/>
      <c r="N480" s="323"/>
      <c r="O480" s="323"/>
      <c r="P480" s="323"/>
      <c r="Q480" s="323"/>
    </row>
    <row r="481" spans="6:17">
      <c r="F481" s="331"/>
      <c r="G481" s="323"/>
      <c r="H481" s="323"/>
      <c r="I481" s="323"/>
      <c r="J481" s="323"/>
      <c r="K481" s="323"/>
      <c r="L481" s="323"/>
      <c r="M481" s="323"/>
      <c r="N481" s="323"/>
      <c r="O481" s="323"/>
      <c r="P481" s="323"/>
      <c r="Q481" s="323"/>
    </row>
    <row r="482" spans="6:17">
      <c r="F482" s="331"/>
      <c r="G482" s="323"/>
      <c r="H482" s="323"/>
      <c r="I482" s="323"/>
      <c r="J482" s="323"/>
      <c r="K482" s="323"/>
      <c r="L482" s="323"/>
      <c r="M482" s="323"/>
      <c r="N482" s="323"/>
      <c r="O482" s="323"/>
      <c r="P482" s="323"/>
      <c r="Q482" s="323"/>
    </row>
    <row r="483" spans="6:17">
      <c r="F483" s="331"/>
      <c r="G483" s="323"/>
      <c r="H483" s="323"/>
      <c r="I483" s="323"/>
      <c r="J483" s="323"/>
      <c r="K483" s="323"/>
      <c r="L483" s="323"/>
      <c r="M483" s="323"/>
      <c r="N483" s="323"/>
      <c r="O483" s="323"/>
      <c r="P483" s="323"/>
      <c r="Q483" s="323"/>
    </row>
    <row r="484" spans="6:17">
      <c r="F484" s="331"/>
      <c r="G484" s="323"/>
      <c r="H484" s="323"/>
      <c r="I484" s="323"/>
      <c r="J484" s="323"/>
      <c r="K484" s="323"/>
      <c r="L484" s="323"/>
      <c r="M484" s="323"/>
      <c r="N484" s="323"/>
      <c r="O484" s="323"/>
      <c r="P484" s="323"/>
      <c r="Q484" s="323"/>
    </row>
    <row r="485" spans="6:17">
      <c r="F485" s="331"/>
      <c r="G485" s="323"/>
      <c r="H485" s="323"/>
      <c r="I485" s="323"/>
      <c r="J485" s="323"/>
      <c r="K485" s="323"/>
      <c r="L485" s="323"/>
      <c r="M485" s="323"/>
      <c r="N485" s="323"/>
      <c r="O485" s="323"/>
      <c r="P485" s="323"/>
      <c r="Q485" s="323"/>
    </row>
    <row r="486" spans="6:17">
      <c r="F486" s="331"/>
      <c r="G486" s="323"/>
      <c r="H486" s="323"/>
      <c r="I486" s="323"/>
      <c r="J486" s="323"/>
      <c r="K486" s="323"/>
      <c r="L486" s="323"/>
      <c r="M486" s="323"/>
      <c r="N486" s="323"/>
      <c r="O486" s="323"/>
      <c r="P486" s="323"/>
      <c r="Q486" s="323"/>
    </row>
    <row r="487" spans="6:17">
      <c r="F487" s="331"/>
      <c r="G487" s="323"/>
      <c r="H487" s="323"/>
      <c r="I487" s="323"/>
      <c r="J487" s="323"/>
      <c r="K487" s="323"/>
      <c r="L487" s="323"/>
      <c r="M487" s="323"/>
      <c r="N487" s="323"/>
      <c r="O487" s="323"/>
      <c r="P487" s="323"/>
      <c r="Q487" s="323"/>
    </row>
    <row r="488" spans="6:17">
      <c r="F488" s="331"/>
      <c r="G488" s="323"/>
      <c r="H488" s="323"/>
      <c r="I488" s="323"/>
      <c r="J488" s="323"/>
      <c r="K488" s="323"/>
      <c r="L488" s="323"/>
      <c r="M488" s="323"/>
      <c r="N488" s="323"/>
      <c r="O488" s="323"/>
      <c r="P488" s="323"/>
      <c r="Q488" s="323"/>
    </row>
    <row r="489" spans="6:17">
      <c r="F489" s="331"/>
      <c r="G489" s="323"/>
      <c r="H489" s="323"/>
      <c r="I489" s="323"/>
      <c r="J489" s="323"/>
      <c r="K489" s="323"/>
      <c r="L489" s="323"/>
      <c r="M489" s="323"/>
      <c r="N489" s="323"/>
      <c r="O489" s="323"/>
      <c r="P489" s="323"/>
      <c r="Q489" s="323"/>
    </row>
    <row r="490" spans="6:17">
      <c r="F490" s="331"/>
      <c r="G490" s="323"/>
      <c r="H490" s="323"/>
      <c r="I490" s="323"/>
      <c r="J490" s="323"/>
      <c r="K490" s="323"/>
      <c r="L490" s="323"/>
      <c r="M490" s="323"/>
      <c r="N490" s="323"/>
      <c r="O490" s="323"/>
      <c r="P490" s="323"/>
      <c r="Q490" s="323"/>
    </row>
    <row r="491" spans="6:17">
      <c r="F491" s="331"/>
      <c r="G491" s="323"/>
      <c r="H491" s="323"/>
      <c r="I491" s="323"/>
      <c r="J491" s="323"/>
      <c r="K491" s="323"/>
      <c r="L491" s="323"/>
      <c r="M491" s="323"/>
      <c r="N491" s="323"/>
      <c r="O491" s="323"/>
      <c r="P491" s="323"/>
      <c r="Q491" s="323"/>
    </row>
    <row r="492" spans="6:17">
      <c r="F492" s="331"/>
      <c r="G492" s="323"/>
      <c r="H492" s="323"/>
      <c r="I492" s="323"/>
      <c r="J492" s="323"/>
      <c r="K492" s="323"/>
      <c r="L492" s="323"/>
      <c r="M492" s="323"/>
      <c r="N492" s="323"/>
      <c r="O492" s="323"/>
      <c r="P492" s="323"/>
      <c r="Q492" s="323"/>
    </row>
    <row r="493" spans="6:17">
      <c r="F493" s="331"/>
      <c r="G493" s="323"/>
      <c r="H493" s="323"/>
      <c r="I493" s="323"/>
      <c r="J493" s="323"/>
      <c r="K493" s="323"/>
      <c r="L493" s="323"/>
      <c r="M493" s="323"/>
      <c r="N493" s="323"/>
      <c r="O493" s="323"/>
      <c r="P493" s="323"/>
      <c r="Q493" s="323"/>
    </row>
    <row r="494" spans="6:17">
      <c r="F494" s="331"/>
      <c r="G494" s="323"/>
      <c r="H494" s="323"/>
      <c r="I494" s="323"/>
      <c r="J494" s="323"/>
      <c r="K494" s="323"/>
      <c r="L494" s="323"/>
      <c r="M494" s="323"/>
      <c r="N494" s="323"/>
      <c r="O494" s="323"/>
      <c r="P494" s="323"/>
      <c r="Q494" s="323"/>
    </row>
    <row r="495" spans="6:17">
      <c r="F495" s="331"/>
      <c r="G495" s="323"/>
      <c r="H495" s="323"/>
      <c r="I495" s="323"/>
      <c r="J495" s="323"/>
      <c r="K495" s="323"/>
      <c r="L495" s="323"/>
      <c r="M495" s="323"/>
      <c r="N495" s="323"/>
      <c r="O495" s="323"/>
      <c r="P495" s="323"/>
      <c r="Q495" s="323"/>
    </row>
    <row r="496" spans="6:17">
      <c r="F496" s="331"/>
      <c r="G496" s="323"/>
      <c r="H496" s="323"/>
      <c r="I496" s="323"/>
      <c r="J496" s="323"/>
      <c r="K496" s="323"/>
      <c r="L496" s="323"/>
      <c r="M496" s="323"/>
      <c r="N496" s="323"/>
      <c r="O496" s="323"/>
      <c r="P496" s="323"/>
      <c r="Q496" s="323"/>
    </row>
    <row r="497" spans="6:17">
      <c r="F497" s="331"/>
      <c r="G497" s="323"/>
      <c r="H497" s="323"/>
      <c r="I497" s="323"/>
      <c r="J497" s="323"/>
      <c r="K497" s="323"/>
      <c r="L497" s="323"/>
      <c r="M497" s="323"/>
      <c r="N497" s="323"/>
      <c r="O497" s="323"/>
      <c r="P497" s="323"/>
      <c r="Q497" s="323"/>
    </row>
    <row r="498" spans="6:17">
      <c r="F498" s="331"/>
      <c r="G498" s="323"/>
      <c r="H498" s="323"/>
      <c r="I498" s="323"/>
      <c r="J498" s="323"/>
      <c r="K498" s="323"/>
      <c r="L498" s="323"/>
      <c r="M498" s="323"/>
      <c r="N498" s="323"/>
      <c r="O498" s="323"/>
      <c r="P498" s="323"/>
      <c r="Q498" s="323"/>
    </row>
    <row r="499" spans="6:17">
      <c r="F499" s="331"/>
      <c r="G499" s="323"/>
      <c r="H499" s="323"/>
      <c r="I499" s="323"/>
      <c r="J499" s="323"/>
      <c r="K499" s="323"/>
      <c r="L499" s="323"/>
      <c r="M499" s="323"/>
      <c r="N499" s="323"/>
      <c r="O499" s="323"/>
      <c r="P499" s="323"/>
      <c r="Q499" s="323"/>
    </row>
    <row r="500" spans="6:17">
      <c r="F500" s="331"/>
      <c r="G500" s="323"/>
      <c r="H500" s="323"/>
      <c r="I500" s="323"/>
      <c r="J500" s="323"/>
      <c r="K500" s="323"/>
      <c r="L500" s="323"/>
      <c r="M500" s="323"/>
      <c r="N500" s="323"/>
      <c r="O500" s="323"/>
      <c r="P500" s="323"/>
      <c r="Q500" s="323"/>
    </row>
    <row r="501" spans="6:17">
      <c r="F501" s="331"/>
      <c r="G501" s="323"/>
      <c r="H501" s="323"/>
      <c r="I501" s="323"/>
      <c r="J501" s="323"/>
      <c r="K501" s="323"/>
      <c r="L501" s="323"/>
      <c r="M501" s="323"/>
      <c r="N501" s="323"/>
      <c r="O501" s="323"/>
      <c r="P501" s="323"/>
      <c r="Q501" s="323"/>
    </row>
    <row r="502" spans="6:17">
      <c r="F502" s="331"/>
      <c r="G502" s="323"/>
      <c r="H502" s="323"/>
      <c r="I502" s="323"/>
      <c r="J502" s="323"/>
      <c r="K502" s="323"/>
      <c r="L502" s="323"/>
      <c r="M502" s="323"/>
      <c r="N502" s="323"/>
      <c r="O502" s="323"/>
      <c r="P502" s="323"/>
      <c r="Q502" s="323"/>
    </row>
    <row r="503" spans="6:17">
      <c r="F503" s="331"/>
      <c r="G503" s="323"/>
      <c r="H503" s="323"/>
      <c r="I503" s="323"/>
      <c r="J503" s="323"/>
      <c r="K503" s="323"/>
      <c r="L503" s="323"/>
      <c r="M503" s="323"/>
      <c r="N503" s="323"/>
      <c r="O503" s="323"/>
      <c r="P503" s="323"/>
      <c r="Q503" s="323"/>
    </row>
    <row r="504" spans="6:17">
      <c r="F504" s="331"/>
      <c r="G504" s="323"/>
      <c r="H504" s="323"/>
      <c r="I504" s="323"/>
      <c r="J504" s="323"/>
      <c r="K504" s="323"/>
      <c r="L504" s="323"/>
      <c r="M504" s="323"/>
      <c r="N504" s="323"/>
      <c r="O504" s="323"/>
      <c r="P504" s="323"/>
      <c r="Q504" s="323"/>
    </row>
    <row r="505" spans="6:17">
      <c r="F505" s="331"/>
      <c r="G505" s="323"/>
      <c r="H505" s="323"/>
      <c r="I505" s="323"/>
      <c r="J505" s="323"/>
      <c r="K505" s="323"/>
      <c r="L505" s="323"/>
      <c r="M505" s="323"/>
      <c r="N505" s="323"/>
      <c r="O505" s="323"/>
      <c r="P505" s="323"/>
      <c r="Q505" s="323"/>
    </row>
    <row r="506" spans="6:17">
      <c r="F506" s="331"/>
      <c r="G506" s="323"/>
      <c r="H506" s="323"/>
      <c r="I506" s="323"/>
      <c r="J506" s="323"/>
      <c r="K506" s="323"/>
      <c r="L506" s="323"/>
      <c r="M506" s="323"/>
      <c r="N506" s="323"/>
      <c r="O506" s="323"/>
      <c r="P506" s="323"/>
      <c r="Q506" s="323"/>
    </row>
    <row r="507" spans="6:17">
      <c r="F507" s="331"/>
      <c r="G507" s="323"/>
      <c r="H507" s="323"/>
      <c r="I507" s="323"/>
      <c r="J507" s="323"/>
      <c r="K507" s="323"/>
      <c r="L507" s="323"/>
      <c r="M507" s="323"/>
      <c r="N507" s="323"/>
      <c r="O507" s="323"/>
      <c r="P507" s="323"/>
      <c r="Q507" s="323"/>
    </row>
    <row r="508" spans="6:17">
      <c r="F508" s="331"/>
      <c r="G508" s="323"/>
      <c r="H508" s="323"/>
      <c r="I508" s="323"/>
      <c r="J508" s="323"/>
      <c r="K508" s="323"/>
      <c r="L508" s="323"/>
      <c r="M508" s="323"/>
      <c r="N508" s="323"/>
      <c r="O508" s="323"/>
      <c r="P508" s="323"/>
      <c r="Q508" s="323"/>
    </row>
    <row r="509" spans="6:17">
      <c r="F509" s="331"/>
      <c r="G509" s="323"/>
      <c r="H509" s="323"/>
      <c r="I509" s="323"/>
      <c r="J509" s="323"/>
      <c r="K509" s="323"/>
      <c r="L509" s="323"/>
      <c r="M509" s="323"/>
      <c r="N509" s="323"/>
      <c r="O509" s="323"/>
      <c r="P509" s="323"/>
      <c r="Q509" s="323"/>
    </row>
    <row r="510" spans="6:17">
      <c r="F510" s="331"/>
      <c r="G510" s="323"/>
      <c r="H510" s="323"/>
      <c r="I510" s="323"/>
      <c r="J510" s="323"/>
      <c r="K510" s="323"/>
      <c r="L510" s="323"/>
      <c r="M510" s="323"/>
      <c r="N510" s="323"/>
      <c r="O510" s="323"/>
      <c r="P510" s="323"/>
      <c r="Q510" s="323"/>
    </row>
    <row r="511" spans="6:17">
      <c r="F511" s="331"/>
      <c r="G511" s="323"/>
      <c r="H511" s="323"/>
      <c r="I511" s="323"/>
      <c r="J511" s="323"/>
      <c r="K511" s="323"/>
      <c r="L511" s="323"/>
      <c r="M511" s="323"/>
      <c r="N511" s="323"/>
      <c r="O511" s="323"/>
      <c r="P511" s="323"/>
      <c r="Q511" s="323"/>
    </row>
    <row r="512" spans="6:17">
      <c r="F512" s="331"/>
      <c r="G512" s="323"/>
      <c r="H512" s="323"/>
      <c r="I512" s="323"/>
      <c r="J512" s="323"/>
      <c r="K512" s="323"/>
      <c r="L512" s="323"/>
      <c r="M512" s="323"/>
      <c r="N512" s="323"/>
      <c r="O512" s="323"/>
      <c r="P512" s="323"/>
      <c r="Q512" s="323"/>
    </row>
    <row r="513" spans="6:17">
      <c r="F513" s="331"/>
      <c r="G513" s="323"/>
      <c r="H513" s="323"/>
      <c r="I513" s="323"/>
      <c r="J513" s="323"/>
      <c r="K513" s="323"/>
      <c r="L513" s="323"/>
      <c r="M513" s="323"/>
      <c r="N513" s="323"/>
      <c r="O513" s="323"/>
      <c r="P513" s="323"/>
      <c r="Q513" s="323"/>
    </row>
    <row r="514" spans="6:17">
      <c r="F514" s="331"/>
      <c r="G514" s="323"/>
      <c r="H514" s="323"/>
      <c r="I514" s="323"/>
      <c r="J514" s="323"/>
      <c r="K514" s="323"/>
      <c r="L514" s="323"/>
      <c r="M514" s="323"/>
      <c r="N514" s="323"/>
      <c r="O514" s="323"/>
      <c r="P514" s="323"/>
      <c r="Q514" s="323"/>
    </row>
    <row r="515" spans="6:17">
      <c r="F515" s="331"/>
      <c r="G515" s="323"/>
      <c r="H515" s="323"/>
      <c r="I515" s="323"/>
      <c r="J515" s="323"/>
      <c r="K515" s="323"/>
      <c r="L515" s="323"/>
      <c r="M515" s="323"/>
      <c r="N515" s="323"/>
      <c r="O515" s="323"/>
      <c r="P515" s="323"/>
      <c r="Q515" s="323"/>
    </row>
    <row r="516" spans="6:17">
      <c r="F516" s="331"/>
      <c r="G516" s="323"/>
      <c r="H516" s="323"/>
      <c r="I516" s="323"/>
      <c r="J516" s="323"/>
      <c r="K516" s="323"/>
      <c r="L516" s="323"/>
      <c r="M516" s="323"/>
      <c r="N516" s="323"/>
      <c r="O516" s="323"/>
      <c r="P516" s="323"/>
      <c r="Q516" s="323"/>
    </row>
    <row r="517" spans="6:17">
      <c r="F517" s="331"/>
      <c r="G517" s="323"/>
      <c r="H517" s="323"/>
      <c r="I517" s="323"/>
      <c r="J517" s="323"/>
      <c r="K517" s="323"/>
      <c r="L517" s="323"/>
      <c r="M517" s="323"/>
      <c r="N517" s="323"/>
      <c r="O517" s="323"/>
      <c r="P517" s="323"/>
      <c r="Q517" s="323"/>
    </row>
    <row r="518" spans="6:17">
      <c r="F518" s="331"/>
      <c r="G518" s="323"/>
      <c r="H518" s="323"/>
      <c r="I518" s="323"/>
      <c r="J518" s="323"/>
      <c r="K518" s="323"/>
      <c r="L518" s="323"/>
      <c r="M518" s="323"/>
      <c r="N518" s="323"/>
      <c r="O518" s="323"/>
      <c r="P518" s="323"/>
      <c r="Q518" s="323"/>
    </row>
    <row r="519" spans="6:17">
      <c r="F519" s="331"/>
      <c r="G519" s="323"/>
      <c r="H519" s="323"/>
      <c r="I519" s="323"/>
      <c r="J519" s="323"/>
      <c r="K519" s="323"/>
      <c r="L519" s="323"/>
      <c r="M519" s="323"/>
      <c r="N519" s="323"/>
      <c r="O519" s="323"/>
      <c r="P519" s="323"/>
      <c r="Q519" s="323"/>
    </row>
    <row r="520" spans="6:17">
      <c r="F520" s="331"/>
      <c r="G520" s="323"/>
      <c r="H520" s="323"/>
      <c r="I520" s="323"/>
      <c r="J520" s="323"/>
      <c r="K520" s="323"/>
      <c r="L520" s="323"/>
      <c r="M520" s="323"/>
      <c r="N520" s="323"/>
      <c r="O520" s="323"/>
      <c r="P520" s="323"/>
      <c r="Q520" s="323"/>
    </row>
    <row r="521" spans="6:17">
      <c r="F521" s="331"/>
      <c r="G521" s="323"/>
      <c r="H521" s="323"/>
      <c r="I521" s="323"/>
      <c r="J521" s="323"/>
      <c r="K521" s="323"/>
      <c r="L521" s="323"/>
      <c r="M521" s="323"/>
      <c r="N521" s="323"/>
      <c r="O521" s="323"/>
      <c r="P521" s="323"/>
      <c r="Q521" s="323"/>
    </row>
    <row r="522" spans="6:17">
      <c r="F522" s="331"/>
      <c r="G522" s="323"/>
      <c r="H522" s="323"/>
      <c r="I522" s="323"/>
      <c r="J522" s="323"/>
      <c r="K522" s="323"/>
      <c r="L522" s="323"/>
      <c r="M522" s="323"/>
      <c r="N522" s="323"/>
      <c r="O522" s="323"/>
      <c r="P522" s="323"/>
      <c r="Q522" s="323"/>
    </row>
    <row r="523" spans="6:17">
      <c r="F523" s="331"/>
      <c r="G523" s="323"/>
      <c r="H523" s="323"/>
      <c r="I523" s="323"/>
      <c r="J523" s="323"/>
      <c r="K523" s="323"/>
      <c r="L523" s="323"/>
      <c r="M523" s="323"/>
      <c r="N523" s="323"/>
      <c r="O523" s="323"/>
      <c r="P523" s="323"/>
      <c r="Q523" s="323"/>
    </row>
    <row r="524" spans="6:17">
      <c r="F524" s="331"/>
      <c r="G524" s="323"/>
      <c r="H524" s="323"/>
      <c r="I524" s="323"/>
      <c r="J524" s="323"/>
      <c r="K524" s="323"/>
      <c r="L524" s="323"/>
      <c r="M524" s="323"/>
      <c r="N524" s="323"/>
      <c r="O524" s="323"/>
      <c r="P524" s="323"/>
      <c r="Q524" s="323"/>
    </row>
    <row r="525" spans="6:17">
      <c r="F525" s="331"/>
      <c r="G525" s="323"/>
      <c r="H525" s="323"/>
      <c r="I525" s="323"/>
      <c r="J525" s="323"/>
      <c r="K525" s="323"/>
      <c r="L525" s="323"/>
      <c r="M525" s="323"/>
      <c r="N525" s="323"/>
      <c r="O525" s="323"/>
      <c r="P525" s="323"/>
      <c r="Q525" s="323"/>
    </row>
    <row r="526" spans="6:17">
      <c r="F526" s="331"/>
      <c r="G526" s="323"/>
      <c r="H526" s="323"/>
      <c r="I526" s="323"/>
      <c r="J526" s="323"/>
      <c r="K526" s="323"/>
      <c r="L526" s="323"/>
      <c r="M526" s="323"/>
      <c r="N526" s="323"/>
      <c r="O526" s="323"/>
      <c r="P526" s="323"/>
      <c r="Q526" s="323"/>
    </row>
    <row r="527" spans="6:17">
      <c r="F527" s="331"/>
      <c r="G527" s="323"/>
      <c r="H527" s="323"/>
      <c r="I527" s="323"/>
      <c r="J527" s="323"/>
      <c r="K527" s="323"/>
      <c r="L527" s="323"/>
      <c r="M527" s="323"/>
      <c r="N527" s="323"/>
      <c r="O527" s="323"/>
      <c r="P527" s="323"/>
      <c r="Q527" s="323"/>
    </row>
    <row r="528" spans="6:17">
      <c r="F528" s="331"/>
      <c r="G528" s="323"/>
      <c r="H528" s="323"/>
      <c r="I528" s="323"/>
      <c r="J528" s="323"/>
      <c r="K528" s="323"/>
      <c r="L528" s="323"/>
      <c r="M528" s="323"/>
      <c r="N528" s="323"/>
      <c r="O528" s="323"/>
      <c r="P528" s="323"/>
      <c r="Q528" s="323"/>
    </row>
    <row r="529" spans="6:17">
      <c r="F529" s="331"/>
      <c r="G529" s="323"/>
      <c r="H529" s="323"/>
      <c r="I529" s="323"/>
      <c r="J529" s="323"/>
      <c r="K529" s="323"/>
      <c r="L529" s="323"/>
      <c r="M529" s="323"/>
      <c r="N529" s="323"/>
      <c r="O529" s="323"/>
      <c r="P529" s="323"/>
      <c r="Q529" s="323"/>
    </row>
    <row r="530" spans="6:17">
      <c r="F530" s="331"/>
      <c r="G530" s="323"/>
      <c r="H530" s="323"/>
      <c r="I530" s="323"/>
      <c r="J530" s="323"/>
      <c r="K530" s="323"/>
      <c r="L530" s="323"/>
      <c r="M530" s="323"/>
      <c r="N530" s="323"/>
      <c r="O530" s="323"/>
      <c r="P530" s="323"/>
      <c r="Q530" s="323"/>
    </row>
    <row r="531" spans="6:17">
      <c r="F531" s="331"/>
      <c r="G531" s="323"/>
      <c r="H531" s="323"/>
      <c r="I531" s="323"/>
      <c r="J531" s="323"/>
      <c r="K531" s="323"/>
      <c r="L531" s="323"/>
      <c r="M531" s="323"/>
      <c r="N531" s="323"/>
      <c r="O531" s="323"/>
      <c r="P531" s="323"/>
      <c r="Q531" s="323"/>
    </row>
    <row r="532" spans="6:17">
      <c r="F532" s="331"/>
      <c r="G532" s="323"/>
      <c r="H532" s="323"/>
      <c r="I532" s="323"/>
      <c r="J532" s="323"/>
      <c r="K532" s="323"/>
      <c r="L532" s="323"/>
      <c r="M532" s="323"/>
      <c r="N532" s="323"/>
      <c r="O532" s="323"/>
      <c r="P532" s="323"/>
      <c r="Q532" s="323"/>
    </row>
    <row r="533" spans="6:17">
      <c r="F533" s="331"/>
      <c r="G533" s="323"/>
      <c r="H533" s="323"/>
      <c r="I533" s="323"/>
      <c r="J533" s="323"/>
      <c r="K533" s="323"/>
      <c r="L533" s="323"/>
      <c r="M533" s="323"/>
      <c r="N533" s="323"/>
      <c r="O533" s="323"/>
      <c r="P533" s="323"/>
      <c r="Q533" s="323"/>
    </row>
    <row r="534" spans="6:17">
      <c r="F534" s="331"/>
      <c r="G534" s="323"/>
      <c r="H534" s="323"/>
      <c r="I534" s="323"/>
      <c r="J534" s="323"/>
      <c r="K534" s="323"/>
      <c r="L534" s="323"/>
      <c r="M534" s="323"/>
      <c r="N534" s="323"/>
      <c r="O534" s="323"/>
      <c r="P534" s="323"/>
      <c r="Q534" s="323"/>
    </row>
    <row r="535" spans="6:17">
      <c r="F535" s="331"/>
      <c r="G535" s="323"/>
      <c r="H535" s="323"/>
      <c r="I535" s="323"/>
      <c r="J535" s="323"/>
      <c r="K535" s="323"/>
      <c r="L535" s="323"/>
      <c r="M535" s="323"/>
      <c r="N535" s="323"/>
      <c r="O535" s="323"/>
      <c r="P535" s="323"/>
      <c r="Q535" s="323"/>
    </row>
    <row r="536" spans="6:17">
      <c r="F536" s="331"/>
      <c r="G536" s="323"/>
      <c r="H536" s="323"/>
      <c r="I536" s="323"/>
      <c r="J536" s="323"/>
      <c r="K536" s="323"/>
      <c r="L536" s="323"/>
      <c r="M536" s="323"/>
      <c r="N536" s="323"/>
      <c r="O536" s="323"/>
      <c r="P536" s="323"/>
      <c r="Q536" s="323"/>
    </row>
    <row r="537" spans="6:17">
      <c r="F537" s="331"/>
      <c r="G537" s="323"/>
      <c r="H537" s="323"/>
      <c r="I537" s="323"/>
      <c r="J537" s="323"/>
      <c r="K537" s="323"/>
      <c r="L537" s="323"/>
      <c r="M537" s="323"/>
      <c r="N537" s="323"/>
      <c r="O537" s="323"/>
      <c r="P537" s="323"/>
      <c r="Q537" s="323"/>
    </row>
    <row r="538" spans="6:17">
      <c r="F538" s="331"/>
      <c r="G538" s="323"/>
      <c r="H538" s="323"/>
      <c r="I538" s="323"/>
      <c r="J538" s="323"/>
      <c r="K538" s="323"/>
      <c r="L538" s="323"/>
      <c r="M538" s="323"/>
      <c r="N538" s="323"/>
      <c r="O538" s="323"/>
      <c r="P538" s="323"/>
      <c r="Q538" s="323"/>
    </row>
    <row r="539" spans="6:17">
      <c r="F539" s="331"/>
      <c r="G539" s="323"/>
      <c r="H539" s="323"/>
      <c r="I539" s="323"/>
      <c r="J539" s="323"/>
      <c r="K539" s="323"/>
      <c r="L539" s="323"/>
      <c r="M539" s="323"/>
      <c r="N539" s="323"/>
      <c r="O539" s="323"/>
      <c r="P539" s="323"/>
      <c r="Q539" s="323"/>
    </row>
    <row r="540" spans="6:17">
      <c r="F540" s="331"/>
      <c r="G540" s="323"/>
      <c r="H540" s="323"/>
      <c r="I540" s="323"/>
      <c r="J540" s="323"/>
      <c r="K540" s="323"/>
      <c r="L540" s="323"/>
      <c r="M540" s="323"/>
      <c r="N540" s="323"/>
      <c r="O540" s="323"/>
      <c r="P540" s="323"/>
      <c r="Q540" s="323"/>
    </row>
    <row r="541" spans="6:17">
      <c r="F541" s="331"/>
      <c r="G541" s="323"/>
      <c r="H541" s="323"/>
      <c r="I541" s="323"/>
      <c r="J541" s="323"/>
      <c r="K541" s="323"/>
      <c r="L541" s="323"/>
      <c r="M541" s="323"/>
      <c r="N541" s="323"/>
      <c r="O541" s="323"/>
      <c r="P541" s="323"/>
      <c r="Q541" s="323"/>
    </row>
    <row r="542" spans="6:17">
      <c r="F542" s="331"/>
      <c r="G542" s="323"/>
      <c r="H542" s="323"/>
      <c r="I542" s="323"/>
      <c r="J542" s="323"/>
      <c r="K542" s="323"/>
      <c r="L542" s="323"/>
      <c r="M542" s="323"/>
      <c r="N542" s="323"/>
      <c r="O542" s="323"/>
      <c r="P542" s="323"/>
      <c r="Q542" s="323"/>
    </row>
    <row r="543" spans="6:17">
      <c r="F543" s="331"/>
      <c r="G543" s="323"/>
      <c r="H543" s="323"/>
      <c r="I543" s="323"/>
      <c r="J543" s="323"/>
      <c r="K543" s="323"/>
      <c r="L543" s="323"/>
      <c r="M543" s="323"/>
      <c r="N543" s="323"/>
      <c r="O543" s="323"/>
      <c r="P543" s="323"/>
      <c r="Q543" s="323"/>
    </row>
    <row r="544" spans="6:17">
      <c r="F544" s="331"/>
      <c r="G544" s="323"/>
      <c r="H544" s="323"/>
      <c r="I544" s="323"/>
      <c r="J544" s="323"/>
      <c r="K544" s="323"/>
      <c r="L544" s="323"/>
      <c r="M544" s="323"/>
      <c r="N544" s="323"/>
      <c r="O544" s="323"/>
      <c r="P544" s="323"/>
      <c r="Q544" s="323"/>
    </row>
    <row r="545" spans="6:17">
      <c r="F545" s="331"/>
      <c r="G545" s="323"/>
      <c r="H545" s="323"/>
      <c r="I545" s="323"/>
      <c r="J545" s="323"/>
      <c r="K545" s="323"/>
      <c r="L545" s="323"/>
      <c r="M545" s="323"/>
      <c r="N545" s="323"/>
      <c r="O545" s="323"/>
      <c r="P545" s="323"/>
      <c r="Q545" s="323"/>
    </row>
    <row r="546" spans="6:17">
      <c r="F546" s="331"/>
      <c r="G546" s="323"/>
      <c r="H546" s="323"/>
      <c r="I546" s="323"/>
      <c r="J546" s="323"/>
      <c r="K546" s="323"/>
      <c r="L546" s="323"/>
      <c r="M546" s="323"/>
      <c r="N546" s="323"/>
      <c r="O546" s="323"/>
      <c r="P546" s="323"/>
      <c r="Q546" s="323"/>
    </row>
    <row r="547" spans="6:17">
      <c r="F547" s="331"/>
      <c r="G547" s="323"/>
      <c r="H547" s="323"/>
      <c r="I547" s="323"/>
      <c r="J547" s="323"/>
      <c r="K547" s="323"/>
      <c r="L547" s="323"/>
      <c r="M547" s="323"/>
      <c r="N547" s="323"/>
      <c r="O547" s="323"/>
      <c r="P547" s="323"/>
      <c r="Q547" s="323"/>
    </row>
    <row r="548" spans="6:17">
      <c r="F548" s="331"/>
      <c r="G548" s="323"/>
      <c r="H548" s="323"/>
      <c r="I548" s="323"/>
      <c r="J548" s="323"/>
      <c r="K548" s="323"/>
      <c r="L548" s="323"/>
      <c r="M548" s="323"/>
      <c r="N548" s="323"/>
      <c r="O548" s="323"/>
      <c r="P548" s="323"/>
      <c r="Q548" s="323"/>
    </row>
    <row r="549" spans="6:17">
      <c r="F549" s="331"/>
      <c r="G549" s="323"/>
      <c r="H549" s="323"/>
      <c r="I549" s="323"/>
      <c r="J549" s="323"/>
      <c r="K549" s="323"/>
      <c r="L549" s="323"/>
      <c r="M549" s="323"/>
      <c r="N549" s="323"/>
      <c r="O549" s="323"/>
      <c r="P549" s="323"/>
      <c r="Q549" s="323"/>
    </row>
    <row r="550" spans="6:17">
      <c r="F550" s="331"/>
      <c r="G550" s="323"/>
      <c r="H550" s="323"/>
      <c r="I550" s="323"/>
      <c r="J550" s="323"/>
      <c r="K550" s="323"/>
      <c r="L550" s="323"/>
      <c r="M550" s="323"/>
      <c r="N550" s="323"/>
      <c r="O550" s="323"/>
      <c r="P550" s="323"/>
      <c r="Q550" s="323"/>
    </row>
    <row r="551" spans="6:17">
      <c r="F551" s="331"/>
      <c r="G551" s="323"/>
      <c r="H551" s="323"/>
      <c r="I551" s="323"/>
      <c r="J551" s="323"/>
      <c r="K551" s="323"/>
      <c r="L551" s="323"/>
      <c r="M551" s="323"/>
      <c r="N551" s="323"/>
      <c r="O551" s="323"/>
      <c r="P551" s="323"/>
      <c r="Q551" s="323"/>
    </row>
    <row r="552" spans="6:17">
      <c r="F552" s="331"/>
      <c r="G552" s="323"/>
      <c r="H552" s="323"/>
      <c r="I552" s="323"/>
      <c r="J552" s="323"/>
      <c r="K552" s="323"/>
      <c r="L552" s="323"/>
      <c r="M552" s="323"/>
      <c r="N552" s="323"/>
      <c r="O552" s="323"/>
      <c r="P552" s="323"/>
      <c r="Q552" s="323"/>
    </row>
    <row r="553" spans="6:17">
      <c r="F553" s="331"/>
      <c r="G553" s="323"/>
      <c r="H553" s="323"/>
      <c r="I553" s="323"/>
      <c r="J553" s="323"/>
      <c r="K553" s="323"/>
      <c r="L553" s="323"/>
      <c r="M553" s="323"/>
      <c r="N553" s="323"/>
      <c r="O553" s="323"/>
      <c r="P553" s="323"/>
      <c r="Q553" s="323"/>
    </row>
    <row r="554" spans="6:17">
      <c r="F554" s="331"/>
      <c r="G554" s="323"/>
      <c r="H554" s="323"/>
      <c r="I554" s="323"/>
      <c r="J554" s="323"/>
      <c r="K554" s="323"/>
      <c r="L554" s="323"/>
      <c r="M554" s="323"/>
      <c r="N554" s="323"/>
      <c r="O554" s="323"/>
      <c r="P554" s="323"/>
      <c r="Q554" s="323"/>
    </row>
    <row r="555" spans="6:17">
      <c r="F555" s="331"/>
      <c r="G555" s="323"/>
      <c r="H555" s="323"/>
      <c r="I555" s="323"/>
      <c r="J555" s="323"/>
      <c r="K555" s="323"/>
      <c r="L555" s="323"/>
      <c r="M555" s="323"/>
      <c r="N555" s="323"/>
      <c r="O555" s="323"/>
      <c r="P555" s="323"/>
      <c r="Q555" s="323"/>
    </row>
    <row r="556" spans="6:17">
      <c r="F556" s="331"/>
      <c r="G556" s="323"/>
      <c r="H556" s="323"/>
      <c r="I556" s="323"/>
      <c r="J556" s="323"/>
      <c r="K556" s="323"/>
      <c r="L556" s="323"/>
      <c r="M556" s="323"/>
      <c r="N556" s="323"/>
      <c r="O556" s="323"/>
      <c r="P556" s="323"/>
      <c r="Q556" s="323"/>
    </row>
    <row r="557" spans="6:17">
      <c r="F557" s="331"/>
      <c r="G557" s="323"/>
      <c r="H557" s="323"/>
      <c r="I557" s="323"/>
      <c r="J557" s="323"/>
      <c r="K557" s="323"/>
      <c r="L557" s="323"/>
      <c r="M557" s="323"/>
      <c r="N557" s="323"/>
      <c r="O557" s="323"/>
      <c r="P557" s="323"/>
      <c r="Q557" s="323"/>
    </row>
    <row r="558" spans="6:17">
      <c r="F558" s="331"/>
      <c r="G558" s="323"/>
      <c r="H558" s="323"/>
      <c r="I558" s="323"/>
      <c r="J558" s="323"/>
      <c r="K558" s="323"/>
      <c r="L558" s="323"/>
      <c r="M558" s="323"/>
      <c r="N558" s="323"/>
      <c r="O558" s="323"/>
      <c r="P558" s="323"/>
      <c r="Q558" s="323"/>
    </row>
    <row r="559" spans="6:17">
      <c r="F559" s="331"/>
      <c r="G559" s="323"/>
      <c r="H559" s="323"/>
      <c r="I559" s="323"/>
      <c r="J559" s="323"/>
      <c r="K559" s="323"/>
      <c r="L559" s="323"/>
      <c r="M559" s="323"/>
      <c r="N559" s="323"/>
      <c r="O559" s="323"/>
      <c r="P559" s="323"/>
      <c r="Q559" s="323"/>
    </row>
    <row r="560" spans="6:17">
      <c r="F560" s="331"/>
      <c r="G560" s="323"/>
      <c r="H560" s="323"/>
      <c r="I560" s="323"/>
      <c r="J560" s="323"/>
      <c r="K560" s="323"/>
      <c r="L560" s="323"/>
      <c r="M560" s="323"/>
      <c r="N560" s="323"/>
      <c r="O560" s="323"/>
      <c r="P560" s="323"/>
      <c r="Q560" s="323"/>
    </row>
    <row r="561" spans="6:17">
      <c r="F561" s="331"/>
      <c r="G561" s="323"/>
      <c r="H561" s="323"/>
      <c r="I561" s="323"/>
      <c r="J561" s="323"/>
      <c r="K561" s="323"/>
      <c r="L561" s="323"/>
      <c r="M561" s="323"/>
      <c r="N561" s="323"/>
      <c r="O561" s="323"/>
      <c r="P561" s="323"/>
      <c r="Q561" s="323"/>
    </row>
    <row r="562" spans="6:17">
      <c r="F562" s="331"/>
      <c r="G562" s="323"/>
      <c r="H562" s="323"/>
      <c r="I562" s="323"/>
      <c r="J562" s="323"/>
      <c r="K562" s="323"/>
      <c r="L562" s="323"/>
      <c r="M562" s="323"/>
      <c r="N562" s="323"/>
      <c r="O562" s="323"/>
      <c r="P562" s="323"/>
      <c r="Q562" s="323"/>
    </row>
    <row r="563" spans="6:17">
      <c r="F563" s="331"/>
      <c r="G563" s="323"/>
      <c r="H563" s="323"/>
      <c r="I563" s="323"/>
      <c r="J563" s="323"/>
      <c r="K563" s="323"/>
      <c r="L563" s="323"/>
      <c r="M563" s="323"/>
      <c r="N563" s="323"/>
      <c r="O563" s="323"/>
      <c r="P563" s="323"/>
      <c r="Q563" s="323"/>
    </row>
    <row r="564" spans="6:17">
      <c r="F564" s="331"/>
      <c r="G564" s="323"/>
      <c r="H564" s="323"/>
      <c r="I564" s="323"/>
      <c r="J564" s="323"/>
      <c r="K564" s="323"/>
      <c r="L564" s="323"/>
      <c r="M564" s="323"/>
      <c r="N564" s="323"/>
      <c r="O564" s="323"/>
      <c r="P564" s="323"/>
      <c r="Q564" s="323"/>
    </row>
    <row r="565" spans="6:17">
      <c r="F565" s="331"/>
      <c r="G565" s="323"/>
      <c r="H565" s="323"/>
      <c r="I565" s="323"/>
      <c r="J565" s="323"/>
      <c r="K565" s="323"/>
      <c r="L565" s="323"/>
      <c r="M565" s="323"/>
      <c r="N565" s="323"/>
      <c r="O565" s="323"/>
      <c r="P565" s="323"/>
      <c r="Q565" s="323"/>
    </row>
    <row r="566" spans="6:17">
      <c r="F566" s="331"/>
      <c r="G566" s="323"/>
      <c r="H566" s="323"/>
      <c r="I566" s="323"/>
      <c r="J566" s="323"/>
      <c r="K566" s="323"/>
      <c r="L566" s="323"/>
      <c r="M566" s="323"/>
      <c r="N566" s="323"/>
      <c r="O566" s="323"/>
      <c r="P566" s="323"/>
      <c r="Q566" s="323"/>
    </row>
    <row r="567" spans="6:17">
      <c r="F567" s="331"/>
      <c r="G567" s="323"/>
      <c r="H567" s="323"/>
      <c r="I567" s="323"/>
      <c r="J567" s="323"/>
      <c r="K567" s="323"/>
      <c r="L567" s="323"/>
      <c r="M567" s="323"/>
      <c r="N567" s="323"/>
      <c r="O567" s="323"/>
      <c r="P567" s="323"/>
      <c r="Q567" s="323"/>
    </row>
    <row r="568" spans="6:17">
      <c r="F568" s="331"/>
      <c r="G568" s="323"/>
      <c r="H568" s="323"/>
      <c r="I568" s="323"/>
      <c r="J568" s="323"/>
      <c r="K568" s="323"/>
      <c r="L568" s="323"/>
      <c r="M568" s="323"/>
      <c r="N568" s="323"/>
      <c r="O568" s="323"/>
      <c r="P568" s="323"/>
      <c r="Q568" s="323"/>
    </row>
    <row r="569" spans="6:17">
      <c r="F569" s="331"/>
      <c r="G569" s="323"/>
      <c r="H569" s="323"/>
      <c r="I569" s="323"/>
      <c r="J569" s="323"/>
      <c r="K569" s="323"/>
      <c r="L569" s="323"/>
      <c r="M569" s="323"/>
      <c r="N569" s="323"/>
      <c r="O569" s="323"/>
      <c r="P569" s="323"/>
      <c r="Q569" s="323"/>
    </row>
    <row r="570" spans="6:17">
      <c r="F570" s="331"/>
      <c r="G570" s="323"/>
      <c r="H570" s="323"/>
      <c r="I570" s="323"/>
      <c r="J570" s="323"/>
      <c r="K570" s="323"/>
      <c r="L570" s="323"/>
      <c r="M570" s="323"/>
      <c r="N570" s="323"/>
      <c r="O570" s="323"/>
      <c r="P570" s="323"/>
      <c r="Q570" s="323"/>
    </row>
    <row r="571" spans="6:17">
      <c r="F571" s="331"/>
      <c r="G571" s="323"/>
      <c r="H571" s="323"/>
      <c r="I571" s="323"/>
      <c r="J571" s="323"/>
      <c r="K571" s="323"/>
      <c r="L571" s="323"/>
      <c r="M571" s="323"/>
      <c r="N571" s="323"/>
      <c r="O571" s="323"/>
      <c r="P571" s="323"/>
      <c r="Q571" s="323"/>
    </row>
    <row r="572" spans="6:17">
      <c r="F572" s="331"/>
      <c r="G572" s="323"/>
      <c r="H572" s="323"/>
      <c r="I572" s="323"/>
      <c r="J572" s="323"/>
      <c r="K572" s="323"/>
      <c r="L572" s="323"/>
      <c r="M572" s="323"/>
      <c r="N572" s="323"/>
      <c r="O572" s="323"/>
      <c r="P572" s="323"/>
      <c r="Q572" s="323"/>
    </row>
    <row r="573" spans="6:17">
      <c r="F573" s="331"/>
      <c r="G573" s="323"/>
      <c r="H573" s="323"/>
      <c r="I573" s="323"/>
      <c r="J573" s="323"/>
      <c r="K573" s="323"/>
      <c r="L573" s="323"/>
      <c r="M573" s="323"/>
      <c r="N573" s="323"/>
      <c r="O573" s="323"/>
      <c r="P573" s="323"/>
      <c r="Q573" s="323"/>
    </row>
    <row r="574" spans="6:17">
      <c r="F574" s="331"/>
      <c r="G574" s="323"/>
      <c r="H574" s="323"/>
      <c r="I574" s="323"/>
      <c r="J574" s="323"/>
      <c r="K574" s="323"/>
      <c r="L574" s="323"/>
      <c r="M574" s="323"/>
      <c r="N574" s="323"/>
      <c r="O574" s="323"/>
      <c r="P574" s="323"/>
      <c r="Q574" s="323"/>
    </row>
    <row r="575" spans="6:17">
      <c r="F575" s="331"/>
      <c r="G575" s="323"/>
      <c r="H575" s="323"/>
      <c r="I575" s="323"/>
      <c r="J575" s="323"/>
      <c r="K575" s="323"/>
      <c r="L575" s="323"/>
      <c r="M575" s="323"/>
      <c r="N575" s="323"/>
      <c r="O575" s="323"/>
      <c r="P575" s="323"/>
      <c r="Q575" s="323"/>
    </row>
    <row r="576" spans="6:17">
      <c r="F576" s="331"/>
      <c r="G576" s="323"/>
      <c r="H576" s="323"/>
      <c r="I576" s="323"/>
      <c r="J576" s="323"/>
      <c r="K576" s="323"/>
      <c r="L576" s="323"/>
      <c r="M576" s="323"/>
      <c r="N576" s="323"/>
      <c r="O576" s="323"/>
      <c r="P576" s="323"/>
      <c r="Q576" s="323"/>
    </row>
    <row r="577" spans="6:17">
      <c r="F577" s="331"/>
      <c r="G577" s="323"/>
      <c r="H577" s="323"/>
      <c r="I577" s="323"/>
      <c r="J577" s="323"/>
      <c r="K577" s="323"/>
      <c r="L577" s="323"/>
      <c r="M577" s="323"/>
      <c r="N577" s="323"/>
      <c r="O577" s="323"/>
      <c r="P577" s="323"/>
      <c r="Q577" s="323"/>
    </row>
    <row r="578" spans="6:17">
      <c r="F578" s="331"/>
      <c r="G578" s="323"/>
      <c r="H578" s="323"/>
      <c r="I578" s="323"/>
      <c r="J578" s="323"/>
      <c r="K578" s="323"/>
      <c r="L578" s="323"/>
      <c r="M578" s="323"/>
      <c r="N578" s="323"/>
      <c r="O578" s="323"/>
      <c r="P578" s="323"/>
      <c r="Q578" s="323"/>
    </row>
    <row r="579" spans="6:17">
      <c r="F579" s="331"/>
      <c r="G579" s="323"/>
      <c r="H579" s="323"/>
      <c r="I579" s="323"/>
      <c r="J579" s="323"/>
      <c r="K579" s="323"/>
      <c r="L579" s="323"/>
      <c r="M579" s="323"/>
      <c r="N579" s="323"/>
      <c r="O579" s="323"/>
      <c r="P579" s="323"/>
      <c r="Q579" s="323"/>
    </row>
    <row r="580" spans="6:17">
      <c r="F580" s="331"/>
      <c r="G580" s="323"/>
      <c r="H580" s="323"/>
      <c r="I580" s="323"/>
      <c r="J580" s="323"/>
      <c r="K580" s="323"/>
      <c r="L580" s="323"/>
      <c r="M580" s="323"/>
      <c r="N580" s="323"/>
      <c r="O580" s="323"/>
      <c r="P580" s="323"/>
      <c r="Q580" s="323"/>
    </row>
    <row r="581" spans="6:17">
      <c r="F581" s="331"/>
      <c r="G581" s="323"/>
      <c r="H581" s="323"/>
      <c r="I581" s="323"/>
      <c r="J581" s="323"/>
      <c r="K581" s="323"/>
      <c r="L581" s="323"/>
      <c r="M581" s="323"/>
      <c r="N581" s="323"/>
      <c r="O581" s="323"/>
      <c r="P581" s="323"/>
      <c r="Q581" s="323"/>
    </row>
    <row r="582" spans="6:17">
      <c r="F582" s="331"/>
      <c r="G582" s="323"/>
      <c r="H582" s="323"/>
      <c r="I582" s="323"/>
      <c r="J582" s="323"/>
      <c r="K582" s="323"/>
      <c r="L582" s="323"/>
      <c r="M582" s="323"/>
      <c r="N582" s="323"/>
      <c r="O582" s="323"/>
      <c r="P582" s="323"/>
      <c r="Q582" s="323"/>
    </row>
    <row r="583" spans="6:17">
      <c r="F583" s="331"/>
      <c r="G583" s="323"/>
      <c r="H583" s="323"/>
      <c r="I583" s="323"/>
      <c r="J583" s="323"/>
      <c r="K583" s="323"/>
      <c r="L583" s="323"/>
      <c r="M583" s="323"/>
      <c r="N583" s="323"/>
      <c r="O583" s="323"/>
      <c r="P583" s="323"/>
      <c r="Q583" s="323"/>
    </row>
    <row r="584" spans="6:17">
      <c r="F584" s="331"/>
      <c r="G584" s="323"/>
      <c r="H584" s="323"/>
      <c r="I584" s="323"/>
      <c r="J584" s="323"/>
      <c r="K584" s="323"/>
      <c r="L584" s="323"/>
      <c r="M584" s="323"/>
      <c r="N584" s="323"/>
      <c r="O584" s="323"/>
      <c r="P584" s="323"/>
      <c r="Q584" s="323"/>
    </row>
    <row r="585" spans="6:17">
      <c r="F585" s="331"/>
      <c r="G585" s="323"/>
      <c r="H585" s="323"/>
      <c r="I585" s="323"/>
      <c r="J585" s="323"/>
      <c r="K585" s="323"/>
      <c r="L585" s="323"/>
      <c r="M585" s="323"/>
      <c r="N585" s="323"/>
      <c r="O585" s="323"/>
      <c r="P585" s="323"/>
      <c r="Q585" s="323"/>
    </row>
    <row r="586" spans="6:17">
      <c r="F586" s="331"/>
      <c r="G586" s="323"/>
      <c r="H586" s="323"/>
      <c r="I586" s="323"/>
      <c r="J586" s="323"/>
      <c r="K586" s="323"/>
      <c r="L586" s="323"/>
      <c r="M586" s="323"/>
      <c r="N586" s="323"/>
      <c r="O586" s="323"/>
      <c r="P586" s="323"/>
      <c r="Q586" s="323"/>
    </row>
    <row r="587" spans="6:17">
      <c r="F587" s="331"/>
      <c r="G587" s="323"/>
      <c r="H587" s="323"/>
      <c r="I587" s="323"/>
      <c r="J587" s="323"/>
      <c r="K587" s="323"/>
      <c r="L587" s="323"/>
      <c r="M587" s="323"/>
      <c r="N587" s="323"/>
      <c r="O587" s="323"/>
      <c r="P587" s="323"/>
      <c r="Q587" s="323"/>
    </row>
    <row r="588" spans="6:17">
      <c r="F588" s="331"/>
      <c r="G588" s="323"/>
      <c r="H588" s="323"/>
      <c r="I588" s="323"/>
      <c r="J588" s="323"/>
      <c r="K588" s="323"/>
      <c r="L588" s="323"/>
      <c r="M588" s="323"/>
      <c r="N588" s="323"/>
      <c r="O588" s="323"/>
      <c r="P588" s="323"/>
      <c r="Q588" s="323"/>
    </row>
    <row r="589" spans="6:17">
      <c r="F589" s="331"/>
      <c r="G589" s="323"/>
      <c r="H589" s="323"/>
      <c r="I589" s="323"/>
      <c r="J589" s="323"/>
      <c r="K589" s="323"/>
      <c r="L589" s="323"/>
      <c r="M589" s="323"/>
      <c r="N589" s="323"/>
      <c r="O589" s="323"/>
      <c r="P589" s="323"/>
      <c r="Q589" s="323"/>
    </row>
    <row r="590" spans="6:17">
      <c r="F590" s="331"/>
      <c r="G590" s="323"/>
      <c r="H590" s="323"/>
      <c r="I590" s="323"/>
      <c r="J590" s="323"/>
      <c r="K590" s="323"/>
      <c r="L590" s="323"/>
      <c r="M590" s="323"/>
      <c r="N590" s="323"/>
      <c r="O590" s="323"/>
      <c r="P590" s="323"/>
      <c r="Q590" s="323"/>
    </row>
    <row r="591" spans="6:17">
      <c r="F591" s="331"/>
      <c r="G591" s="323"/>
      <c r="H591" s="323"/>
      <c r="I591" s="323"/>
      <c r="J591" s="323"/>
      <c r="K591" s="323"/>
      <c r="L591" s="323"/>
      <c r="M591" s="323"/>
      <c r="N591" s="323"/>
      <c r="O591" s="323"/>
      <c r="P591" s="323"/>
      <c r="Q591" s="323"/>
    </row>
    <row r="592" spans="6:17">
      <c r="F592" s="331"/>
      <c r="G592" s="323"/>
      <c r="H592" s="323"/>
      <c r="I592" s="323"/>
      <c r="J592" s="323"/>
      <c r="K592" s="323"/>
      <c r="L592" s="323"/>
      <c r="M592" s="323"/>
      <c r="N592" s="323"/>
      <c r="O592" s="323"/>
      <c r="P592" s="323"/>
      <c r="Q592" s="323"/>
    </row>
    <row r="593" spans="6:17">
      <c r="F593" s="331"/>
      <c r="G593" s="323"/>
      <c r="H593" s="323"/>
      <c r="I593" s="323"/>
      <c r="J593" s="323"/>
      <c r="K593" s="323"/>
      <c r="L593" s="323"/>
      <c r="M593" s="323"/>
      <c r="N593" s="323"/>
      <c r="O593" s="323"/>
      <c r="P593" s="323"/>
      <c r="Q593" s="323"/>
    </row>
    <row r="594" spans="6:17">
      <c r="F594" s="331"/>
      <c r="G594" s="323"/>
      <c r="H594" s="323"/>
      <c r="I594" s="323"/>
      <c r="J594" s="323"/>
      <c r="K594" s="323"/>
      <c r="L594" s="323"/>
      <c r="M594" s="323"/>
      <c r="N594" s="323"/>
      <c r="O594" s="323"/>
      <c r="P594" s="323"/>
      <c r="Q594" s="323"/>
    </row>
    <row r="595" spans="6:17">
      <c r="F595" s="331"/>
      <c r="G595" s="323"/>
      <c r="H595" s="323"/>
      <c r="I595" s="323"/>
      <c r="J595" s="323"/>
      <c r="K595" s="323"/>
      <c r="L595" s="323"/>
      <c r="M595" s="323"/>
      <c r="N595" s="323"/>
      <c r="O595" s="323"/>
      <c r="P595" s="323"/>
      <c r="Q595" s="323"/>
    </row>
    <row r="596" spans="6:17">
      <c r="F596" s="331"/>
      <c r="G596" s="323"/>
      <c r="H596" s="323"/>
      <c r="I596" s="323"/>
      <c r="J596" s="323"/>
      <c r="K596" s="323"/>
      <c r="L596" s="323"/>
      <c r="M596" s="323"/>
      <c r="N596" s="323"/>
      <c r="O596" s="323"/>
      <c r="P596" s="323"/>
      <c r="Q596" s="323"/>
    </row>
    <row r="597" spans="6:17">
      <c r="F597" s="331"/>
      <c r="G597" s="323"/>
      <c r="H597" s="323"/>
      <c r="I597" s="323"/>
      <c r="J597" s="323"/>
      <c r="K597" s="323"/>
      <c r="L597" s="323"/>
      <c r="M597" s="323"/>
      <c r="N597" s="323"/>
      <c r="O597" s="323"/>
      <c r="P597" s="323"/>
      <c r="Q597" s="323"/>
    </row>
    <row r="598" spans="6:17">
      <c r="F598" s="331"/>
      <c r="G598" s="323"/>
      <c r="H598" s="323"/>
      <c r="I598" s="323"/>
      <c r="J598" s="323"/>
      <c r="K598" s="323"/>
      <c r="L598" s="323"/>
      <c r="M598" s="323"/>
      <c r="N598" s="323"/>
      <c r="O598" s="323"/>
      <c r="P598" s="323"/>
      <c r="Q598" s="323"/>
    </row>
    <row r="599" spans="6:17">
      <c r="F599" s="331"/>
      <c r="G599" s="323"/>
      <c r="H599" s="323"/>
      <c r="I599" s="323"/>
      <c r="J599" s="323"/>
      <c r="K599" s="323"/>
      <c r="L599" s="323"/>
      <c r="M599" s="323"/>
      <c r="N599" s="323"/>
      <c r="O599" s="323"/>
      <c r="P599" s="323"/>
      <c r="Q599" s="323"/>
    </row>
    <row r="600" spans="6:17">
      <c r="F600" s="331"/>
      <c r="G600" s="323"/>
      <c r="H600" s="323"/>
      <c r="I600" s="323"/>
      <c r="J600" s="323"/>
      <c r="K600" s="323"/>
      <c r="L600" s="323"/>
      <c r="M600" s="323"/>
      <c r="N600" s="323"/>
      <c r="O600" s="323"/>
      <c r="P600" s="323"/>
      <c r="Q600" s="323"/>
    </row>
    <row r="601" spans="6:17">
      <c r="F601" s="331"/>
      <c r="G601" s="323"/>
      <c r="H601" s="323"/>
      <c r="I601" s="323"/>
      <c r="J601" s="323"/>
      <c r="K601" s="323"/>
      <c r="L601" s="323"/>
      <c r="M601" s="323"/>
      <c r="N601" s="323"/>
      <c r="O601" s="323"/>
      <c r="P601" s="323"/>
      <c r="Q601" s="323"/>
    </row>
    <row r="602" spans="6:17">
      <c r="F602" s="331"/>
      <c r="G602" s="323"/>
      <c r="H602" s="323"/>
      <c r="I602" s="323"/>
      <c r="J602" s="323"/>
      <c r="K602" s="323"/>
      <c r="L602" s="323"/>
      <c r="M602" s="323"/>
      <c r="N602" s="323"/>
      <c r="O602" s="323"/>
      <c r="P602" s="323"/>
      <c r="Q602" s="323"/>
    </row>
    <row r="603" spans="6:17">
      <c r="F603" s="331"/>
      <c r="G603" s="323"/>
      <c r="H603" s="323"/>
      <c r="I603" s="323"/>
      <c r="J603" s="323"/>
      <c r="K603" s="323"/>
      <c r="L603" s="323"/>
      <c r="M603" s="323"/>
      <c r="N603" s="323"/>
      <c r="O603" s="323"/>
      <c r="P603" s="323"/>
      <c r="Q603" s="323"/>
    </row>
    <row r="604" spans="6:17">
      <c r="F604" s="331"/>
      <c r="G604" s="323"/>
      <c r="H604" s="323"/>
      <c r="I604" s="323"/>
      <c r="J604" s="323"/>
      <c r="K604" s="323"/>
      <c r="L604" s="323"/>
      <c r="M604" s="323"/>
      <c r="N604" s="323"/>
      <c r="O604" s="323"/>
      <c r="P604" s="323"/>
      <c r="Q604" s="323"/>
    </row>
    <row r="605" spans="6:17">
      <c r="F605" s="331"/>
      <c r="G605" s="323"/>
      <c r="H605" s="323"/>
      <c r="I605" s="323"/>
      <c r="J605" s="323"/>
      <c r="K605" s="323"/>
      <c r="L605" s="323"/>
      <c r="M605" s="323"/>
      <c r="N605" s="323"/>
      <c r="O605" s="323"/>
      <c r="P605" s="323"/>
      <c r="Q605" s="323"/>
    </row>
    <row r="606" spans="6:17">
      <c r="F606" s="331"/>
      <c r="G606" s="323"/>
      <c r="H606" s="323"/>
      <c r="I606" s="323"/>
      <c r="J606" s="323"/>
      <c r="K606" s="323"/>
      <c r="L606" s="323"/>
      <c r="M606" s="323"/>
      <c r="N606" s="323"/>
      <c r="O606" s="323"/>
      <c r="P606" s="323"/>
      <c r="Q606" s="323"/>
    </row>
    <row r="607" spans="6:17">
      <c r="F607" s="331"/>
      <c r="G607" s="323"/>
      <c r="H607" s="323"/>
      <c r="I607" s="323"/>
      <c r="J607" s="323"/>
      <c r="K607" s="323"/>
      <c r="L607" s="323"/>
      <c r="M607" s="323"/>
      <c r="N607" s="323"/>
      <c r="O607" s="323"/>
      <c r="P607" s="323"/>
      <c r="Q607" s="323"/>
    </row>
    <row r="608" spans="6:17">
      <c r="F608" s="331"/>
      <c r="G608" s="323"/>
      <c r="H608" s="323"/>
      <c r="I608" s="323"/>
      <c r="J608" s="323"/>
      <c r="K608" s="323"/>
      <c r="L608" s="323"/>
      <c r="M608" s="323"/>
      <c r="N608" s="323"/>
      <c r="O608" s="323"/>
      <c r="P608" s="323"/>
      <c r="Q608" s="323"/>
    </row>
    <row r="609" spans="6:17">
      <c r="F609" s="331"/>
      <c r="G609" s="323"/>
      <c r="H609" s="323"/>
      <c r="I609" s="323"/>
      <c r="J609" s="323"/>
      <c r="K609" s="323"/>
      <c r="L609" s="323"/>
      <c r="M609" s="323"/>
      <c r="N609" s="323"/>
      <c r="O609" s="323"/>
      <c r="P609" s="323"/>
      <c r="Q609" s="323"/>
    </row>
    <row r="610" spans="6:17">
      <c r="F610" s="331"/>
      <c r="G610" s="323"/>
      <c r="H610" s="323"/>
      <c r="I610" s="323"/>
      <c r="J610" s="323"/>
      <c r="K610" s="323"/>
      <c r="L610" s="323"/>
      <c r="M610" s="323"/>
      <c r="N610" s="323"/>
      <c r="O610" s="323"/>
      <c r="P610" s="323"/>
      <c r="Q610" s="323"/>
    </row>
    <row r="611" spans="6:17">
      <c r="F611" s="331"/>
      <c r="G611" s="323"/>
      <c r="H611" s="323"/>
      <c r="I611" s="323"/>
      <c r="J611" s="323"/>
      <c r="K611" s="323"/>
      <c r="L611" s="323"/>
      <c r="M611" s="323"/>
      <c r="N611" s="323"/>
      <c r="O611" s="323"/>
      <c r="P611" s="323"/>
      <c r="Q611" s="323"/>
    </row>
    <row r="612" spans="6:17">
      <c r="F612" s="331"/>
      <c r="G612" s="323"/>
      <c r="H612" s="323"/>
      <c r="I612" s="323"/>
      <c r="J612" s="323"/>
      <c r="K612" s="323"/>
      <c r="L612" s="323"/>
      <c r="M612" s="323"/>
      <c r="N612" s="323"/>
      <c r="O612" s="323"/>
      <c r="P612" s="323"/>
      <c r="Q612" s="323"/>
    </row>
    <row r="613" spans="6:17">
      <c r="F613" s="331"/>
      <c r="G613" s="323"/>
      <c r="H613" s="323"/>
      <c r="I613" s="323"/>
      <c r="J613" s="323"/>
      <c r="K613" s="323"/>
      <c r="L613" s="323"/>
      <c r="M613" s="323"/>
      <c r="N613" s="323"/>
      <c r="O613" s="323"/>
      <c r="P613" s="323"/>
      <c r="Q613" s="323"/>
    </row>
    <row r="614" spans="6:17">
      <c r="F614" s="331"/>
      <c r="G614" s="323"/>
      <c r="H614" s="323"/>
      <c r="I614" s="323"/>
      <c r="J614" s="323"/>
      <c r="K614" s="323"/>
      <c r="L614" s="323"/>
      <c r="M614" s="323"/>
      <c r="N614" s="323"/>
      <c r="O614" s="323"/>
      <c r="P614" s="323"/>
      <c r="Q614" s="323"/>
    </row>
    <row r="615" spans="6:17">
      <c r="F615" s="331"/>
      <c r="G615" s="323"/>
      <c r="H615" s="323"/>
      <c r="I615" s="323"/>
      <c r="J615" s="323"/>
      <c r="K615" s="323"/>
      <c r="L615" s="323"/>
      <c r="M615" s="323"/>
      <c r="N615" s="323"/>
      <c r="O615" s="323"/>
      <c r="P615" s="323"/>
      <c r="Q615" s="323"/>
    </row>
    <row r="616" spans="6:17">
      <c r="F616" s="331"/>
      <c r="G616" s="323"/>
      <c r="H616" s="323"/>
      <c r="I616" s="323"/>
      <c r="J616" s="323"/>
      <c r="K616" s="323"/>
      <c r="L616" s="323"/>
      <c r="M616" s="323"/>
      <c r="N616" s="323"/>
      <c r="O616" s="323"/>
      <c r="P616" s="323"/>
      <c r="Q616" s="323"/>
    </row>
    <row r="617" spans="6:17">
      <c r="F617" s="331"/>
      <c r="G617" s="323"/>
      <c r="H617" s="323"/>
      <c r="I617" s="323"/>
      <c r="J617" s="323"/>
      <c r="K617" s="323"/>
      <c r="L617" s="323"/>
      <c r="M617" s="323"/>
      <c r="N617" s="323"/>
      <c r="O617" s="323"/>
      <c r="P617" s="323"/>
      <c r="Q617" s="323"/>
    </row>
    <row r="618" spans="6:17">
      <c r="F618" s="331"/>
      <c r="G618" s="323"/>
      <c r="H618" s="323"/>
      <c r="I618" s="323"/>
      <c r="J618" s="323"/>
      <c r="K618" s="323"/>
      <c r="L618" s="323"/>
      <c r="M618" s="323"/>
      <c r="N618" s="323"/>
      <c r="O618" s="323"/>
      <c r="P618" s="323"/>
      <c r="Q618" s="323"/>
    </row>
    <row r="619" spans="6:17">
      <c r="F619" s="331"/>
      <c r="G619" s="323"/>
      <c r="H619" s="323"/>
      <c r="I619" s="323"/>
      <c r="J619" s="323"/>
      <c r="K619" s="323"/>
      <c r="L619" s="323"/>
      <c r="M619" s="323"/>
      <c r="N619" s="323"/>
      <c r="O619" s="323"/>
      <c r="P619" s="323"/>
      <c r="Q619" s="323"/>
    </row>
    <row r="620" spans="6:17">
      <c r="F620" s="331"/>
      <c r="G620" s="323"/>
      <c r="H620" s="323"/>
      <c r="I620" s="323"/>
      <c r="J620" s="323"/>
      <c r="K620" s="323"/>
      <c r="L620" s="323"/>
      <c r="M620" s="323"/>
      <c r="N620" s="323"/>
      <c r="O620" s="323"/>
      <c r="P620" s="323"/>
      <c r="Q620" s="323"/>
    </row>
    <row r="621" spans="6:17">
      <c r="F621" s="331"/>
      <c r="G621" s="323"/>
      <c r="H621" s="323"/>
      <c r="I621" s="323"/>
      <c r="J621" s="323"/>
      <c r="K621" s="323"/>
      <c r="L621" s="323"/>
      <c r="M621" s="323"/>
      <c r="N621" s="323"/>
      <c r="O621" s="323"/>
      <c r="P621" s="323"/>
      <c r="Q621" s="323"/>
    </row>
    <row r="622" spans="6:17">
      <c r="F622" s="331"/>
      <c r="G622" s="323"/>
      <c r="H622" s="323"/>
      <c r="I622" s="323"/>
      <c r="J622" s="323"/>
      <c r="K622" s="323"/>
      <c r="L622" s="323"/>
      <c r="M622" s="323"/>
      <c r="N622" s="323"/>
      <c r="O622" s="323"/>
      <c r="P622" s="323"/>
      <c r="Q622" s="323"/>
    </row>
    <row r="623" spans="6:17">
      <c r="F623" s="331"/>
      <c r="G623" s="323"/>
      <c r="H623" s="323"/>
      <c r="I623" s="323"/>
      <c r="J623" s="323"/>
      <c r="K623" s="323"/>
      <c r="L623" s="323"/>
      <c r="M623" s="323"/>
      <c r="N623" s="323"/>
      <c r="O623" s="323"/>
      <c r="P623" s="323"/>
      <c r="Q623" s="323"/>
    </row>
    <row r="624" spans="6:17">
      <c r="F624" s="331"/>
      <c r="G624" s="323"/>
      <c r="H624" s="323"/>
      <c r="I624" s="323"/>
      <c r="J624" s="323"/>
      <c r="K624" s="323"/>
      <c r="L624" s="323"/>
      <c r="M624" s="323"/>
      <c r="N624" s="323"/>
      <c r="O624" s="323"/>
      <c r="P624" s="323"/>
      <c r="Q624" s="323"/>
    </row>
    <row r="625" spans="6:17">
      <c r="F625" s="331"/>
      <c r="G625" s="323"/>
      <c r="H625" s="323"/>
      <c r="I625" s="323"/>
      <c r="J625" s="323"/>
      <c r="K625" s="323"/>
      <c r="L625" s="323"/>
      <c r="M625" s="323"/>
      <c r="N625" s="323"/>
      <c r="O625" s="323"/>
      <c r="P625" s="323"/>
      <c r="Q625" s="323"/>
    </row>
    <row r="626" spans="6:17">
      <c r="F626" s="331"/>
      <c r="G626" s="323"/>
      <c r="H626" s="323"/>
      <c r="I626" s="323"/>
      <c r="J626" s="323"/>
      <c r="K626" s="323"/>
      <c r="L626" s="323"/>
      <c r="M626" s="323"/>
      <c r="N626" s="323"/>
      <c r="O626" s="323"/>
      <c r="P626" s="323"/>
      <c r="Q626" s="323"/>
    </row>
    <row r="627" spans="6:17">
      <c r="F627" s="331"/>
      <c r="G627" s="323"/>
      <c r="H627" s="323"/>
      <c r="I627" s="323"/>
      <c r="J627" s="323"/>
      <c r="K627" s="323"/>
      <c r="L627" s="323"/>
      <c r="M627" s="323"/>
      <c r="N627" s="323"/>
      <c r="O627" s="323"/>
      <c r="P627" s="323"/>
      <c r="Q627" s="323"/>
    </row>
    <row r="628" spans="6:17">
      <c r="F628" s="331"/>
      <c r="G628" s="323"/>
      <c r="H628" s="323"/>
      <c r="I628" s="323"/>
      <c r="J628" s="323"/>
      <c r="K628" s="323"/>
      <c r="L628" s="323"/>
      <c r="M628" s="323"/>
      <c r="N628" s="323"/>
      <c r="O628" s="323"/>
      <c r="P628" s="323"/>
      <c r="Q628" s="323"/>
    </row>
    <row r="629" spans="6:17">
      <c r="F629" s="331"/>
      <c r="G629" s="323"/>
      <c r="H629" s="323"/>
      <c r="I629" s="323"/>
      <c r="J629" s="323"/>
      <c r="K629" s="323"/>
      <c r="L629" s="323"/>
      <c r="M629" s="323"/>
      <c r="N629" s="323"/>
      <c r="O629" s="323"/>
      <c r="P629" s="323"/>
      <c r="Q629" s="323"/>
    </row>
    <row r="630" spans="6:17">
      <c r="F630" s="331"/>
      <c r="G630" s="323"/>
      <c r="H630" s="323"/>
      <c r="I630" s="323"/>
      <c r="J630" s="323"/>
      <c r="K630" s="323"/>
      <c r="L630" s="323"/>
      <c r="M630" s="323"/>
      <c r="N630" s="323"/>
      <c r="O630" s="323"/>
      <c r="P630" s="323"/>
      <c r="Q630" s="323"/>
    </row>
    <row r="631" spans="6:17">
      <c r="F631" s="331"/>
      <c r="G631" s="323"/>
      <c r="H631" s="323"/>
      <c r="I631" s="323"/>
      <c r="J631" s="323"/>
      <c r="K631" s="323"/>
      <c r="L631" s="323"/>
      <c r="M631" s="323"/>
      <c r="N631" s="323"/>
      <c r="O631" s="323"/>
      <c r="P631" s="323"/>
      <c r="Q631" s="323"/>
    </row>
    <row r="632" spans="6:17">
      <c r="F632" s="331"/>
      <c r="G632" s="323"/>
      <c r="H632" s="323"/>
      <c r="I632" s="323"/>
      <c r="J632" s="323"/>
      <c r="K632" s="323"/>
      <c r="L632" s="323"/>
      <c r="M632" s="323"/>
      <c r="N632" s="323"/>
      <c r="O632" s="323"/>
      <c r="P632" s="323"/>
      <c r="Q632" s="323"/>
    </row>
    <row r="633" spans="6:17">
      <c r="F633" s="331"/>
      <c r="G633" s="323"/>
      <c r="H633" s="323"/>
      <c r="I633" s="323"/>
      <c r="J633" s="323"/>
      <c r="K633" s="323"/>
      <c r="L633" s="323"/>
      <c r="M633" s="323"/>
      <c r="N633" s="323"/>
      <c r="O633" s="323"/>
      <c r="P633" s="323"/>
      <c r="Q633" s="323"/>
    </row>
    <row r="634" spans="6:17">
      <c r="F634" s="331"/>
      <c r="G634" s="323"/>
      <c r="H634" s="323"/>
      <c r="I634" s="323"/>
      <c r="J634" s="323"/>
      <c r="K634" s="323"/>
      <c r="L634" s="323"/>
      <c r="M634" s="323"/>
      <c r="N634" s="323"/>
      <c r="O634" s="323"/>
      <c r="P634" s="323"/>
      <c r="Q634" s="323"/>
    </row>
    <row r="635" spans="6:17">
      <c r="F635" s="331"/>
      <c r="G635" s="323"/>
      <c r="H635" s="323"/>
      <c r="I635" s="323"/>
      <c r="J635" s="323"/>
      <c r="K635" s="323"/>
      <c r="L635" s="323"/>
      <c r="M635" s="323"/>
      <c r="N635" s="323"/>
      <c r="O635" s="323"/>
      <c r="P635" s="323"/>
      <c r="Q635" s="323"/>
    </row>
    <row r="636" spans="6:17">
      <c r="F636" s="331"/>
      <c r="G636" s="323"/>
      <c r="H636" s="323"/>
      <c r="I636" s="323"/>
      <c r="J636" s="323"/>
      <c r="K636" s="323"/>
      <c r="L636" s="323"/>
      <c r="M636" s="323"/>
      <c r="N636" s="323"/>
      <c r="O636" s="323"/>
      <c r="P636" s="323"/>
      <c r="Q636" s="323"/>
    </row>
    <row r="637" spans="6:17">
      <c r="F637" s="331"/>
      <c r="G637" s="323"/>
      <c r="H637" s="323"/>
      <c r="I637" s="323"/>
      <c r="J637" s="323"/>
      <c r="K637" s="323"/>
      <c r="L637" s="323"/>
      <c r="M637" s="323"/>
      <c r="N637" s="323"/>
      <c r="O637" s="323"/>
      <c r="P637" s="323"/>
      <c r="Q637" s="323"/>
    </row>
    <row r="638" spans="6:17">
      <c r="F638" s="331"/>
      <c r="G638" s="323"/>
      <c r="H638" s="323"/>
      <c r="I638" s="323"/>
      <c r="J638" s="323"/>
      <c r="K638" s="323"/>
      <c r="L638" s="323"/>
      <c r="M638" s="323"/>
      <c r="N638" s="323"/>
      <c r="O638" s="323"/>
      <c r="P638" s="323"/>
      <c r="Q638" s="323"/>
    </row>
    <row r="639" spans="6:17">
      <c r="F639" s="331"/>
      <c r="G639" s="323"/>
      <c r="H639" s="323"/>
      <c r="I639" s="323"/>
      <c r="J639" s="323"/>
      <c r="K639" s="323"/>
      <c r="L639" s="323"/>
      <c r="M639" s="323"/>
      <c r="N639" s="323"/>
      <c r="O639" s="323"/>
      <c r="P639" s="323"/>
      <c r="Q639" s="323"/>
    </row>
    <row r="640" spans="6:17">
      <c r="F640" s="331"/>
      <c r="G640" s="323"/>
      <c r="H640" s="323"/>
      <c r="I640" s="323"/>
      <c r="J640" s="323"/>
      <c r="K640" s="323"/>
      <c r="L640" s="323"/>
      <c r="M640" s="323"/>
      <c r="N640" s="323"/>
      <c r="O640" s="323"/>
      <c r="P640" s="323"/>
      <c r="Q640" s="323"/>
    </row>
    <row r="641" spans="6:17">
      <c r="F641" s="331"/>
      <c r="G641" s="323"/>
      <c r="H641" s="323"/>
      <c r="I641" s="323"/>
      <c r="J641" s="323"/>
      <c r="K641" s="323"/>
      <c r="L641" s="323"/>
      <c r="M641" s="323"/>
      <c r="N641" s="323"/>
      <c r="O641" s="323"/>
      <c r="P641" s="323"/>
      <c r="Q641" s="323"/>
    </row>
    <row r="642" spans="6:17">
      <c r="F642" s="331"/>
      <c r="G642" s="323"/>
      <c r="H642" s="323"/>
      <c r="I642" s="323"/>
      <c r="J642" s="323"/>
      <c r="K642" s="323"/>
      <c r="L642" s="323"/>
      <c r="M642" s="323"/>
      <c r="N642" s="323"/>
      <c r="O642" s="323"/>
      <c r="P642" s="323"/>
      <c r="Q642" s="323"/>
    </row>
    <row r="643" spans="6:17">
      <c r="F643" s="331"/>
      <c r="G643" s="323"/>
      <c r="H643" s="323"/>
      <c r="I643" s="323"/>
      <c r="J643" s="323"/>
      <c r="K643" s="323"/>
      <c r="L643" s="323"/>
      <c r="M643" s="323"/>
      <c r="N643" s="323"/>
      <c r="O643" s="323"/>
      <c r="P643" s="323"/>
      <c r="Q643" s="323"/>
    </row>
    <row r="644" spans="6:17">
      <c r="F644" s="331"/>
      <c r="G644" s="323"/>
      <c r="H644" s="323"/>
      <c r="I644" s="323"/>
      <c r="J644" s="323"/>
      <c r="K644" s="323"/>
      <c r="L644" s="323"/>
      <c r="M644" s="323"/>
      <c r="N644" s="323"/>
      <c r="O644" s="323"/>
      <c r="P644" s="323"/>
      <c r="Q644" s="323"/>
    </row>
    <row r="645" spans="6:17">
      <c r="F645" s="331"/>
      <c r="G645" s="323"/>
      <c r="H645" s="323"/>
      <c r="I645" s="323"/>
      <c r="J645" s="323"/>
      <c r="K645" s="323"/>
      <c r="L645" s="323"/>
      <c r="M645" s="323"/>
      <c r="N645" s="323"/>
      <c r="O645" s="323"/>
      <c r="P645" s="323"/>
      <c r="Q645" s="323"/>
    </row>
    <row r="646" spans="6:17">
      <c r="F646" s="331"/>
      <c r="G646" s="323"/>
      <c r="H646" s="323"/>
      <c r="I646" s="323"/>
      <c r="J646" s="323"/>
      <c r="K646" s="323"/>
      <c r="L646" s="323"/>
      <c r="M646" s="323"/>
      <c r="N646" s="323"/>
      <c r="O646" s="323"/>
      <c r="P646" s="323"/>
      <c r="Q646" s="323"/>
    </row>
    <row r="647" spans="6:17">
      <c r="F647" s="331"/>
      <c r="G647" s="323"/>
      <c r="H647" s="323"/>
      <c r="I647" s="323"/>
      <c r="J647" s="323"/>
      <c r="K647" s="323"/>
      <c r="L647" s="323"/>
      <c r="M647" s="323"/>
      <c r="N647" s="323"/>
      <c r="O647" s="323"/>
      <c r="P647" s="323"/>
      <c r="Q647" s="323"/>
    </row>
    <row r="648" spans="6:17">
      <c r="F648" s="331"/>
      <c r="G648" s="323"/>
      <c r="H648" s="323"/>
      <c r="I648" s="323"/>
      <c r="J648" s="323"/>
      <c r="K648" s="323"/>
      <c r="L648" s="323"/>
      <c r="M648" s="323"/>
      <c r="N648" s="323"/>
      <c r="O648" s="323"/>
      <c r="P648" s="323"/>
      <c r="Q648" s="323"/>
    </row>
    <row r="649" spans="6:17">
      <c r="F649" s="331"/>
      <c r="G649" s="323"/>
      <c r="H649" s="323"/>
      <c r="I649" s="323"/>
      <c r="J649" s="323"/>
      <c r="K649" s="323"/>
      <c r="L649" s="323"/>
      <c r="M649" s="323"/>
      <c r="N649" s="323"/>
      <c r="O649" s="323"/>
      <c r="P649" s="323"/>
      <c r="Q649" s="323"/>
    </row>
    <row r="650" spans="6:17">
      <c r="F650" s="331"/>
      <c r="G650" s="323"/>
      <c r="H650" s="323"/>
      <c r="I650" s="323"/>
      <c r="J650" s="323"/>
      <c r="K650" s="323"/>
      <c r="L650" s="323"/>
      <c r="M650" s="323"/>
      <c r="N650" s="323"/>
      <c r="O650" s="323"/>
      <c r="P650" s="323"/>
      <c r="Q650" s="323"/>
    </row>
    <row r="651" spans="6:17">
      <c r="F651" s="331"/>
      <c r="G651" s="323"/>
      <c r="H651" s="323"/>
      <c r="I651" s="323"/>
      <c r="J651" s="323"/>
      <c r="K651" s="323"/>
      <c r="L651" s="323"/>
      <c r="M651" s="323"/>
      <c r="N651" s="323"/>
      <c r="O651" s="323"/>
      <c r="P651" s="323"/>
      <c r="Q651" s="323"/>
    </row>
    <row r="652" spans="6:17">
      <c r="F652" s="331"/>
      <c r="G652" s="323"/>
      <c r="H652" s="323"/>
      <c r="I652" s="323"/>
      <c r="J652" s="323"/>
      <c r="K652" s="323"/>
      <c r="L652" s="323"/>
      <c r="M652" s="323"/>
      <c r="N652" s="323"/>
      <c r="O652" s="323"/>
      <c r="P652" s="323"/>
      <c r="Q652" s="323"/>
    </row>
    <row r="653" spans="6:17">
      <c r="F653" s="331"/>
      <c r="G653" s="323"/>
      <c r="H653" s="323"/>
      <c r="I653" s="323"/>
      <c r="J653" s="323"/>
      <c r="K653" s="323"/>
      <c r="L653" s="323"/>
      <c r="M653" s="323"/>
      <c r="N653" s="323"/>
      <c r="O653" s="323"/>
      <c r="P653" s="323"/>
      <c r="Q653" s="323"/>
    </row>
    <row r="654" spans="6:17">
      <c r="F654" s="331"/>
      <c r="G654" s="323"/>
      <c r="H654" s="323"/>
      <c r="I654" s="323"/>
      <c r="J654" s="323"/>
      <c r="K654" s="323"/>
      <c r="L654" s="323"/>
      <c r="M654" s="323"/>
      <c r="N654" s="323"/>
      <c r="O654" s="323"/>
      <c r="P654" s="323"/>
      <c r="Q654" s="323"/>
    </row>
    <row r="655" spans="6:17">
      <c r="F655" s="331"/>
      <c r="G655" s="323"/>
      <c r="H655" s="323"/>
      <c r="I655" s="323"/>
      <c r="J655" s="323"/>
      <c r="K655" s="323"/>
      <c r="L655" s="323"/>
      <c r="M655" s="323"/>
      <c r="N655" s="323"/>
      <c r="O655" s="323"/>
      <c r="P655" s="323"/>
      <c r="Q655" s="323"/>
    </row>
    <row r="656" spans="6:17">
      <c r="F656" s="331"/>
      <c r="G656" s="323"/>
      <c r="H656" s="323"/>
      <c r="I656" s="323"/>
      <c r="J656" s="323"/>
      <c r="K656" s="323"/>
      <c r="L656" s="323"/>
      <c r="M656" s="323"/>
      <c r="N656" s="323"/>
      <c r="O656" s="323"/>
      <c r="P656" s="323"/>
      <c r="Q656" s="323"/>
    </row>
    <row r="657" spans="6:17">
      <c r="F657" s="331"/>
      <c r="G657" s="323"/>
      <c r="H657" s="323"/>
      <c r="I657" s="323"/>
      <c r="J657" s="323"/>
      <c r="K657" s="323"/>
      <c r="L657" s="323"/>
      <c r="M657" s="323"/>
      <c r="N657" s="323"/>
      <c r="O657" s="323"/>
      <c r="P657" s="323"/>
      <c r="Q657" s="323"/>
    </row>
    <row r="658" spans="6:17">
      <c r="F658" s="331"/>
      <c r="G658" s="323"/>
      <c r="H658" s="323"/>
      <c r="I658" s="323"/>
      <c r="J658" s="323"/>
      <c r="K658" s="323"/>
      <c r="L658" s="323"/>
      <c r="M658" s="323"/>
      <c r="N658" s="323"/>
      <c r="O658" s="323"/>
      <c r="P658" s="323"/>
      <c r="Q658" s="323"/>
    </row>
    <row r="659" spans="6:17">
      <c r="F659" s="331"/>
      <c r="G659" s="323"/>
      <c r="H659" s="323"/>
      <c r="I659" s="323"/>
      <c r="J659" s="323"/>
      <c r="K659" s="323"/>
      <c r="L659" s="323"/>
      <c r="M659" s="323"/>
      <c r="N659" s="323"/>
      <c r="O659" s="323"/>
      <c r="P659" s="323"/>
      <c r="Q659" s="323"/>
    </row>
    <row r="660" spans="6:17">
      <c r="F660" s="331"/>
      <c r="G660" s="323"/>
      <c r="H660" s="323"/>
      <c r="I660" s="323"/>
      <c r="J660" s="323"/>
      <c r="K660" s="323"/>
      <c r="L660" s="323"/>
      <c r="M660" s="323"/>
      <c r="N660" s="323"/>
      <c r="O660" s="323"/>
      <c r="P660" s="323"/>
      <c r="Q660" s="323"/>
    </row>
    <row r="661" spans="6:17">
      <c r="F661" s="331"/>
      <c r="G661" s="323"/>
      <c r="H661" s="323"/>
      <c r="I661" s="323"/>
      <c r="J661" s="323"/>
      <c r="K661" s="323"/>
      <c r="L661" s="323"/>
      <c r="M661" s="323"/>
      <c r="N661" s="323"/>
      <c r="O661" s="323"/>
      <c r="P661" s="323"/>
      <c r="Q661" s="323"/>
    </row>
    <row r="662" spans="6:17">
      <c r="F662" s="331"/>
      <c r="G662" s="323"/>
      <c r="H662" s="323"/>
      <c r="I662" s="323"/>
      <c r="J662" s="323"/>
      <c r="K662" s="323"/>
      <c r="L662" s="323"/>
      <c r="M662" s="323"/>
      <c r="N662" s="323"/>
      <c r="O662" s="323"/>
      <c r="P662" s="323"/>
      <c r="Q662" s="323"/>
    </row>
    <row r="663" spans="6:17">
      <c r="F663" s="331"/>
      <c r="G663" s="323"/>
      <c r="H663" s="323"/>
      <c r="I663" s="323"/>
      <c r="J663" s="323"/>
      <c r="K663" s="323"/>
      <c r="L663" s="323"/>
      <c r="M663" s="323"/>
      <c r="N663" s="323"/>
      <c r="O663" s="323"/>
      <c r="P663" s="323"/>
      <c r="Q663" s="323"/>
    </row>
    <row r="664" spans="6:17">
      <c r="F664" s="331"/>
      <c r="G664" s="323"/>
      <c r="H664" s="323"/>
      <c r="I664" s="323"/>
      <c r="J664" s="323"/>
      <c r="K664" s="323"/>
      <c r="L664" s="323"/>
      <c r="M664" s="323"/>
      <c r="N664" s="323"/>
      <c r="O664" s="323"/>
      <c r="P664" s="323"/>
      <c r="Q664" s="323"/>
    </row>
    <row r="665" spans="6:17">
      <c r="F665" s="331"/>
      <c r="G665" s="323"/>
      <c r="H665" s="323"/>
      <c r="I665" s="323"/>
      <c r="J665" s="323"/>
      <c r="K665" s="323"/>
      <c r="L665" s="323"/>
      <c r="M665" s="323"/>
      <c r="N665" s="323"/>
      <c r="O665" s="323"/>
      <c r="P665" s="323"/>
      <c r="Q665" s="323"/>
    </row>
    <row r="666" spans="6:17">
      <c r="F666" s="331"/>
      <c r="G666" s="323"/>
      <c r="H666" s="323"/>
      <c r="I666" s="323"/>
      <c r="J666" s="323"/>
      <c r="K666" s="323"/>
      <c r="L666" s="323"/>
      <c r="M666" s="323"/>
      <c r="N666" s="323"/>
      <c r="O666" s="323"/>
      <c r="P666" s="323"/>
      <c r="Q666" s="323"/>
    </row>
    <row r="667" spans="6:17">
      <c r="F667" s="331"/>
      <c r="G667" s="323"/>
      <c r="H667" s="323"/>
      <c r="I667" s="323"/>
      <c r="J667" s="323"/>
      <c r="K667" s="323"/>
      <c r="L667" s="323"/>
      <c r="M667" s="323"/>
      <c r="N667" s="323"/>
      <c r="O667" s="323"/>
      <c r="P667" s="323"/>
      <c r="Q667" s="323"/>
    </row>
    <row r="668" spans="6:17">
      <c r="F668" s="331"/>
      <c r="G668" s="323"/>
      <c r="H668" s="323"/>
      <c r="I668" s="323"/>
      <c r="J668" s="323"/>
      <c r="K668" s="323"/>
      <c r="L668" s="323"/>
      <c r="M668" s="323"/>
      <c r="N668" s="323"/>
      <c r="O668" s="323"/>
      <c r="P668" s="323"/>
      <c r="Q668" s="323"/>
    </row>
    <row r="669" spans="6:17">
      <c r="F669" s="331"/>
      <c r="G669" s="323"/>
      <c r="H669" s="323"/>
      <c r="I669" s="323"/>
      <c r="J669" s="323"/>
      <c r="K669" s="323"/>
      <c r="L669" s="323"/>
      <c r="M669" s="323"/>
      <c r="N669" s="323"/>
      <c r="O669" s="323"/>
      <c r="P669" s="323"/>
      <c r="Q669" s="323"/>
    </row>
    <row r="670" spans="6:17">
      <c r="F670" s="331"/>
      <c r="G670" s="323"/>
      <c r="H670" s="323"/>
      <c r="I670" s="323"/>
      <c r="J670" s="323"/>
      <c r="K670" s="323"/>
      <c r="L670" s="323"/>
      <c r="M670" s="323"/>
      <c r="N670" s="323"/>
      <c r="O670" s="323"/>
      <c r="P670" s="323"/>
      <c r="Q670" s="323"/>
    </row>
    <row r="671" spans="6:17">
      <c r="F671" s="331"/>
      <c r="G671" s="323"/>
      <c r="H671" s="323"/>
      <c r="I671" s="323"/>
      <c r="J671" s="323"/>
      <c r="K671" s="323"/>
      <c r="L671" s="323"/>
      <c r="M671" s="323"/>
      <c r="N671" s="323"/>
      <c r="O671" s="323"/>
      <c r="P671" s="323"/>
      <c r="Q671" s="323"/>
    </row>
    <row r="672" spans="6:17">
      <c r="F672" s="331"/>
      <c r="G672" s="323"/>
      <c r="H672" s="323"/>
      <c r="I672" s="323"/>
      <c r="J672" s="323"/>
      <c r="K672" s="323"/>
      <c r="L672" s="323"/>
      <c r="M672" s="323"/>
      <c r="N672" s="323"/>
      <c r="O672" s="323"/>
      <c r="P672" s="323"/>
      <c r="Q672" s="323"/>
    </row>
    <row r="673" spans="6:17">
      <c r="F673" s="331"/>
      <c r="G673" s="323"/>
      <c r="H673" s="323"/>
      <c r="I673" s="323"/>
      <c r="J673" s="323"/>
      <c r="K673" s="323"/>
      <c r="L673" s="323"/>
      <c r="M673" s="323"/>
      <c r="N673" s="323"/>
      <c r="O673" s="323"/>
      <c r="P673" s="323"/>
      <c r="Q673" s="323"/>
    </row>
    <row r="674" spans="6:17">
      <c r="F674" s="331"/>
      <c r="G674" s="323"/>
      <c r="H674" s="323"/>
      <c r="I674" s="323"/>
      <c r="J674" s="323"/>
      <c r="K674" s="323"/>
      <c r="L674" s="323"/>
      <c r="M674" s="323"/>
      <c r="N674" s="323"/>
      <c r="O674" s="323"/>
      <c r="P674" s="323"/>
      <c r="Q674" s="323"/>
    </row>
    <row r="675" spans="6:17">
      <c r="F675" s="331"/>
      <c r="G675" s="323"/>
      <c r="H675" s="323"/>
      <c r="I675" s="323"/>
      <c r="J675" s="323"/>
      <c r="K675" s="323"/>
      <c r="L675" s="323"/>
      <c r="M675" s="323"/>
      <c r="N675" s="323"/>
      <c r="O675" s="323"/>
      <c r="P675" s="323"/>
      <c r="Q675" s="323"/>
    </row>
    <row r="676" spans="6:17">
      <c r="F676" s="331"/>
      <c r="G676" s="323"/>
      <c r="H676" s="323"/>
      <c r="I676" s="323"/>
      <c r="J676" s="323"/>
      <c r="K676" s="323"/>
      <c r="L676" s="323"/>
      <c r="M676" s="323"/>
      <c r="N676" s="323"/>
      <c r="O676" s="323"/>
      <c r="P676" s="323"/>
      <c r="Q676" s="323"/>
    </row>
    <row r="677" spans="6:17">
      <c r="F677" s="331"/>
      <c r="G677" s="323"/>
      <c r="H677" s="323"/>
      <c r="I677" s="323"/>
      <c r="J677" s="323"/>
      <c r="K677" s="323"/>
      <c r="L677" s="323"/>
      <c r="M677" s="323"/>
      <c r="N677" s="323"/>
      <c r="O677" s="323"/>
      <c r="P677" s="323"/>
      <c r="Q677" s="323"/>
    </row>
    <row r="678" spans="6:17">
      <c r="F678" s="331"/>
      <c r="G678" s="323"/>
      <c r="H678" s="323"/>
      <c r="I678" s="323"/>
      <c r="J678" s="323"/>
      <c r="K678" s="323"/>
      <c r="L678" s="323"/>
      <c r="M678" s="323"/>
      <c r="N678" s="323"/>
      <c r="O678" s="323"/>
      <c r="P678" s="323"/>
      <c r="Q678" s="323"/>
    </row>
    <row r="679" spans="6:17">
      <c r="F679" s="331"/>
      <c r="G679" s="323"/>
      <c r="H679" s="323"/>
      <c r="I679" s="323"/>
      <c r="J679" s="323"/>
      <c r="K679" s="323"/>
      <c r="L679" s="323"/>
      <c r="M679" s="323"/>
      <c r="N679" s="323"/>
      <c r="O679" s="323"/>
      <c r="P679" s="323"/>
      <c r="Q679" s="323"/>
    </row>
    <row r="680" spans="6:17">
      <c r="F680" s="331"/>
      <c r="G680" s="323"/>
      <c r="H680" s="323"/>
      <c r="I680" s="323"/>
      <c r="J680" s="323"/>
      <c r="K680" s="323"/>
      <c r="L680" s="323"/>
      <c r="M680" s="323"/>
      <c r="N680" s="323"/>
      <c r="O680" s="323"/>
      <c r="P680" s="323"/>
      <c r="Q680" s="323"/>
    </row>
    <row r="681" spans="6:17">
      <c r="F681" s="331"/>
      <c r="G681" s="323"/>
      <c r="H681" s="323"/>
      <c r="I681" s="323"/>
      <c r="J681" s="323"/>
      <c r="K681" s="323"/>
      <c r="L681" s="323"/>
      <c r="M681" s="323"/>
      <c r="N681" s="323"/>
      <c r="O681" s="323"/>
      <c r="P681" s="323"/>
      <c r="Q681" s="323"/>
    </row>
    <row r="682" spans="6:17">
      <c r="F682" s="331"/>
      <c r="G682" s="323"/>
      <c r="H682" s="323"/>
      <c r="I682" s="323"/>
      <c r="J682" s="323"/>
      <c r="K682" s="323"/>
      <c r="L682" s="323"/>
      <c r="M682" s="323"/>
      <c r="N682" s="323"/>
      <c r="O682" s="323"/>
      <c r="P682" s="323"/>
      <c r="Q682" s="323"/>
    </row>
    <row r="683" spans="6:17">
      <c r="F683" s="331"/>
      <c r="G683" s="323"/>
      <c r="H683" s="323"/>
      <c r="I683" s="323"/>
      <c r="J683" s="323"/>
      <c r="K683" s="323"/>
      <c r="L683" s="323"/>
      <c r="M683" s="323"/>
      <c r="N683" s="323"/>
      <c r="O683" s="323"/>
      <c r="P683" s="323"/>
      <c r="Q683" s="323"/>
    </row>
    <row r="684" spans="6:17">
      <c r="F684" s="331"/>
      <c r="G684" s="323"/>
      <c r="H684" s="323"/>
      <c r="I684" s="323"/>
      <c r="J684" s="323"/>
      <c r="K684" s="323"/>
      <c r="L684" s="323"/>
      <c r="M684" s="323"/>
      <c r="N684" s="323"/>
      <c r="O684" s="323"/>
      <c r="P684" s="323"/>
      <c r="Q684" s="323"/>
    </row>
    <row r="685" spans="6:17">
      <c r="F685" s="331"/>
      <c r="G685" s="323"/>
      <c r="H685" s="323"/>
      <c r="I685" s="323"/>
      <c r="J685" s="323"/>
      <c r="K685" s="323"/>
      <c r="L685" s="323"/>
      <c r="M685" s="323"/>
      <c r="N685" s="323"/>
      <c r="O685" s="323"/>
      <c r="P685" s="323"/>
      <c r="Q685" s="323"/>
    </row>
    <row r="686" spans="6:17">
      <c r="F686" s="331"/>
      <c r="G686" s="323"/>
      <c r="H686" s="323"/>
      <c r="I686" s="323"/>
      <c r="J686" s="323"/>
      <c r="K686" s="323"/>
      <c r="L686" s="323"/>
      <c r="M686" s="323"/>
      <c r="N686" s="323"/>
      <c r="O686" s="323"/>
      <c r="P686" s="323"/>
      <c r="Q686" s="323"/>
    </row>
    <row r="687" spans="6:17">
      <c r="F687" s="331"/>
      <c r="G687" s="323"/>
      <c r="H687" s="323"/>
      <c r="I687" s="323"/>
      <c r="J687" s="323"/>
      <c r="K687" s="323"/>
      <c r="L687" s="323"/>
      <c r="M687" s="323"/>
      <c r="N687" s="323"/>
      <c r="O687" s="323"/>
      <c r="P687" s="323"/>
      <c r="Q687" s="323"/>
    </row>
    <row r="688" spans="6:17">
      <c r="F688" s="331"/>
      <c r="G688" s="323"/>
      <c r="H688" s="323"/>
      <c r="I688" s="323"/>
      <c r="J688" s="323"/>
      <c r="K688" s="323"/>
      <c r="L688" s="323"/>
      <c r="M688" s="323"/>
      <c r="N688" s="323"/>
      <c r="O688" s="323"/>
      <c r="P688" s="323"/>
      <c r="Q688" s="323"/>
    </row>
    <row r="689" spans="6:17">
      <c r="F689" s="331"/>
      <c r="G689" s="323"/>
      <c r="H689" s="323"/>
      <c r="I689" s="323"/>
      <c r="J689" s="323"/>
      <c r="K689" s="323"/>
      <c r="L689" s="323"/>
      <c r="M689" s="323"/>
      <c r="N689" s="323"/>
      <c r="O689" s="323"/>
      <c r="P689" s="323"/>
      <c r="Q689" s="323"/>
    </row>
    <row r="690" spans="6:17">
      <c r="F690" s="331"/>
      <c r="G690" s="323"/>
      <c r="H690" s="323"/>
      <c r="I690" s="323"/>
      <c r="J690" s="323"/>
      <c r="K690" s="323"/>
      <c r="L690" s="323"/>
      <c r="M690" s="323"/>
      <c r="N690" s="323"/>
      <c r="O690" s="323"/>
      <c r="P690" s="323"/>
      <c r="Q690" s="323"/>
    </row>
    <row r="691" spans="6:17">
      <c r="F691" s="331"/>
      <c r="G691" s="323"/>
      <c r="H691" s="323"/>
      <c r="I691" s="323"/>
      <c r="J691" s="323"/>
      <c r="K691" s="323"/>
      <c r="L691" s="323"/>
      <c r="M691" s="323"/>
      <c r="N691" s="323"/>
      <c r="O691" s="323"/>
      <c r="P691" s="323"/>
      <c r="Q691" s="323"/>
    </row>
    <row r="692" spans="6:17">
      <c r="F692" s="331"/>
      <c r="G692" s="323"/>
      <c r="H692" s="323"/>
      <c r="I692" s="323"/>
      <c r="J692" s="323"/>
      <c r="K692" s="323"/>
      <c r="L692" s="323"/>
      <c r="M692" s="323"/>
      <c r="N692" s="323"/>
      <c r="O692" s="323"/>
      <c r="P692" s="323"/>
      <c r="Q692" s="323"/>
    </row>
    <row r="693" spans="6:17">
      <c r="F693" s="331"/>
      <c r="G693" s="323"/>
      <c r="H693" s="323"/>
      <c r="I693" s="323"/>
      <c r="J693" s="323"/>
      <c r="K693" s="323"/>
      <c r="L693" s="323"/>
      <c r="M693" s="323"/>
      <c r="N693" s="323"/>
      <c r="O693" s="323"/>
      <c r="P693" s="323"/>
      <c r="Q693" s="323"/>
    </row>
    <row r="694" spans="6:17">
      <c r="F694" s="331"/>
      <c r="G694" s="323"/>
      <c r="H694" s="323"/>
      <c r="I694" s="323"/>
      <c r="J694" s="323"/>
      <c r="K694" s="323"/>
      <c r="L694" s="323"/>
      <c r="M694" s="323"/>
      <c r="N694" s="323"/>
      <c r="O694" s="323"/>
      <c r="P694" s="323"/>
      <c r="Q694" s="323"/>
    </row>
    <row r="695" spans="6:17">
      <c r="F695" s="331"/>
      <c r="G695" s="323"/>
      <c r="H695" s="323"/>
      <c r="I695" s="323"/>
      <c r="J695" s="323"/>
      <c r="K695" s="323"/>
      <c r="L695" s="323"/>
      <c r="M695" s="323"/>
      <c r="N695" s="323"/>
      <c r="O695" s="323"/>
      <c r="P695" s="323"/>
      <c r="Q695" s="323"/>
    </row>
    <row r="696" spans="6:17">
      <c r="F696" s="331"/>
      <c r="G696" s="323"/>
      <c r="H696" s="323"/>
      <c r="I696" s="323"/>
      <c r="J696" s="323"/>
      <c r="K696" s="323"/>
      <c r="L696" s="323"/>
      <c r="M696" s="323"/>
      <c r="N696" s="323"/>
      <c r="O696" s="323"/>
      <c r="P696" s="323"/>
      <c r="Q696" s="323"/>
    </row>
    <row r="697" spans="6:17">
      <c r="F697" s="331"/>
      <c r="G697" s="323"/>
      <c r="H697" s="323"/>
      <c r="I697" s="323"/>
      <c r="J697" s="323"/>
      <c r="K697" s="323"/>
      <c r="L697" s="323"/>
      <c r="M697" s="323"/>
      <c r="N697" s="323"/>
      <c r="O697" s="323"/>
      <c r="P697" s="323"/>
      <c r="Q697" s="323"/>
    </row>
    <row r="698" spans="6:17">
      <c r="F698" s="331"/>
      <c r="G698" s="323"/>
      <c r="H698" s="323"/>
      <c r="I698" s="323"/>
      <c r="J698" s="323"/>
      <c r="K698" s="323"/>
      <c r="L698" s="323"/>
      <c r="M698" s="323"/>
      <c r="N698" s="323"/>
      <c r="O698" s="323"/>
      <c r="P698" s="323"/>
      <c r="Q698" s="323"/>
    </row>
    <row r="699" spans="6:17">
      <c r="F699" s="331"/>
      <c r="G699" s="323"/>
      <c r="H699" s="323"/>
      <c r="I699" s="323"/>
      <c r="J699" s="323"/>
      <c r="K699" s="323"/>
      <c r="L699" s="323"/>
      <c r="M699" s="323"/>
      <c r="N699" s="323"/>
      <c r="O699" s="323"/>
      <c r="P699" s="323"/>
      <c r="Q699" s="323"/>
    </row>
    <row r="700" spans="6:17">
      <c r="F700" s="331"/>
      <c r="G700" s="323"/>
      <c r="H700" s="323"/>
      <c r="I700" s="323"/>
      <c r="J700" s="323"/>
      <c r="K700" s="323"/>
      <c r="L700" s="323"/>
      <c r="M700" s="323"/>
      <c r="N700" s="323"/>
      <c r="O700" s="323"/>
      <c r="P700" s="323"/>
      <c r="Q700" s="323"/>
    </row>
    <row r="701" spans="6:17">
      <c r="F701" s="331"/>
      <c r="G701" s="323"/>
      <c r="H701" s="323"/>
      <c r="I701" s="323"/>
      <c r="J701" s="323"/>
      <c r="K701" s="323"/>
      <c r="L701" s="323"/>
      <c r="M701" s="323"/>
      <c r="N701" s="323"/>
      <c r="O701" s="323"/>
      <c r="P701" s="323"/>
      <c r="Q701" s="323"/>
    </row>
    <row r="702" spans="6:17">
      <c r="F702" s="331"/>
      <c r="G702" s="323"/>
      <c r="H702" s="323"/>
      <c r="I702" s="323"/>
      <c r="J702" s="323"/>
      <c r="K702" s="323"/>
      <c r="L702" s="323"/>
      <c r="M702" s="323"/>
      <c r="N702" s="323"/>
      <c r="O702" s="323"/>
      <c r="P702" s="323"/>
      <c r="Q702" s="323"/>
    </row>
    <row r="703" spans="6:17">
      <c r="F703" s="331"/>
      <c r="G703" s="323"/>
      <c r="H703" s="323"/>
      <c r="I703" s="323"/>
      <c r="J703" s="323"/>
      <c r="K703" s="323"/>
      <c r="L703" s="323"/>
      <c r="M703" s="323"/>
      <c r="N703" s="323"/>
      <c r="O703" s="323"/>
      <c r="P703" s="323"/>
      <c r="Q703" s="323"/>
    </row>
    <row r="704" spans="6:17">
      <c r="F704" s="331"/>
      <c r="G704" s="323"/>
      <c r="H704" s="323"/>
      <c r="I704" s="323"/>
      <c r="J704" s="323"/>
      <c r="K704" s="323"/>
      <c r="L704" s="323"/>
      <c r="M704" s="323"/>
      <c r="N704" s="323"/>
      <c r="O704" s="323"/>
      <c r="P704" s="323"/>
      <c r="Q704" s="323"/>
    </row>
    <row r="705" spans="6:17">
      <c r="F705" s="331"/>
      <c r="G705" s="323"/>
      <c r="H705" s="323"/>
      <c r="I705" s="323"/>
      <c r="J705" s="323"/>
      <c r="K705" s="323"/>
      <c r="L705" s="323"/>
      <c r="M705" s="323"/>
      <c r="N705" s="323"/>
      <c r="O705" s="323"/>
      <c r="P705" s="323"/>
      <c r="Q705" s="323"/>
    </row>
    <row r="706" spans="6:17">
      <c r="F706" s="331"/>
      <c r="G706" s="323"/>
      <c r="H706" s="323"/>
      <c r="I706" s="323"/>
      <c r="J706" s="323"/>
      <c r="K706" s="323"/>
      <c r="L706" s="323"/>
      <c r="M706" s="323"/>
      <c r="N706" s="323"/>
      <c r="O706" s="323"/>
      <c r="P706" s="323"/>
      <c r="Q706" s="323"/>
    </row>
    <row r="707" spans="6:17">
      <c r="F707" s="331"/>
      <c r="G707" s="323"/>
      <c r="H707" s="323"/>
      <c r="I707" s="323"/>
      <c r="J707" s="323"/>
      <c r="K707" s="323"/>
      <c r="L707" s="323"/>
      <c r="M707" s="323"/>
      <c r="N707" s="323"/>
      <c r="O707" s="323"/>
      <c r="P707" s="323"/>
      <c r="Q707" s="323"/>
    </row>
    <row r="708" spans="6:17">
      <c r="F708" s="331"/>
      <c r="G708" s="323"/>
      <c r="H708" s="323"/>
      <c r="I708" s="323"/>
      <c r="J708" s="323"/>
      <c r="K708" s="323"/>
      <c r="L708" s="323"/>
      <c r="M708" s="323"/>
      <c r="N708" s="323"/>
      <c r="O708" s="323"/>
      <c r="P708" s="323"/>
      <c r="Q708" s="323"/>
    </row>
    <row r="709" spans="6:17">
      <c r="F709" s="331"/>
      <c r="G709" s="323"/>
      <c r="H709" s="323"/>
      <c r="I709" s="323"/>
      <c r="J709" s="323"/>
      <c r="K709" s="323"/>
      <c r="L709" s="323"/>
      <c r="M709" s="323"/>
      <c r="N709" s="323"/>
      <c r="O709" s="323"/>
      <c r="P709" s="323"/>
      <c r="Q709" s="323"/>
    </row>
    <row r="710" spans="6:17">
      <c r="F710" s="331"/>
      <c r="G710" s="323"/>
      <c r="H710" s="323"/>
      <c r="I710" s="323"/>
      <c r="J710" s="323"/>
      <c r="K710" s="323"/>
      <c r="L710" s="323"/>
      <c r="M710" s="323"/>
      <c r="N710" s="323"/>
      <c r="O710" s="323"/>
      <c r="P710" s="323"/>
      <c r="Q710" s="323"/>
    </row>
    <row r="711" spans="6:17">
      <c r="F711" s="331"/>
      <c r="G711" s="323"/>
      <c r="H711" s="323"/>
      <c r="I711" s="323"/>
      <c r="J711" s="323"/>
      <c r="K711" s="323"/>
      <c r="L711" s="323"/>
      <c r="M711" s="323"/>
      <c r="N711" s="323"/>
      <c r="O711" s="323"/>
      <c r="P711" s="323"/>
      <c r="Q711" s="323"/>
    </row>
    <row r="712" spans="6:17">
      <c r="F712" s="331"/>
      <c r="G712" s="323"/>
      <c r="H712" s="323"/>
      <c r="I712" s="323"/>
      <c r="J712" s="323"/>
      <c r="K712" s="323"/>
      <c r="L712" s="323"/>
      <c r="M712" s="323"/>
      <c r="N712" s="323"/>
      <c r="O712" s="323"/>
      <c r="P712" s="323"/>
      <c r="Q712" s="323"/>
    </row>
    <row r="713" spans="6:17">
      <c r="F713" s="331"/>
      <c r="G713" s="323"/>
      <c r="H713" s="323"/>
      <c r="I713" s="323"/>
      <c r="J713" s="323"/>
      <c r="K713" s="323"/>
      <c r="L713" s="323"/>
      <c r="M713" s="323"/>
      <c r="N713" s="323"/>
      <c r="O713" s="323"/>
      <c r="P713" s="323"/>
      <c r="Q713" s="323"/>
    </row>
    <row r="714" spans="6:17">
      <c r="F714" s="331"/>
      <c r="G714" s="323"/>
      <c r="H714" s="323"/>
      <c r="I714" s="323"/>
      <c r="J714" s="323"/>
      <c r="K714" s="323"/>
      <c r="L714" s="323"/>
      <c r="M714" s="323"/>
      <c r="N714" s="323"/>
      <c r="O714" s="323"/>
      <c r="P714" s="323"/>
      <c r="Q714" s="323"/>
    </row>
    <row r="715" spans="6:17">
      <c r="F715" s="331"/>
      <c r="G715" s="323"/>
      <c r="H715" s="323"/>
      <c r="I715" s="323"/>
      <c r="J715" s="323"/>
      <c r="K715" s="323"/>
      <c r="L715" s="323"/>
      <c r="M715" s="323"/>
      <c r="N715" s="323"/>
      <c r="O715" s="323"/>
      <c r="P715" s="323"/>
      <c r="Q715" s="323"/>
    </row>
    <row r="716" spans="6:17">
      <c r="F716" s="331"/>
      <c r="G716" s="323"/>
      <c r="H716" s="323"/>
      <c r="I716" s="323"/>
      <c r="J716" s="323"/>
      <c r="K716" s="323"/>
      <c r="L716" s="323"/>
      <c r="M716" s="323"/>
      <c r="N716" s="323"/>
      <c r="O716" s="323"/>
      <c r="P716" s="323"/>
      <c r="Q716" s="323"/>
    </row>
    <row r="717" spans="6:17">
      <c r="F717" s="331"/>
      <c r="G717" s="323"/>
      <c r="H717" s="323"/>
      <c r="I717" s="323"/>
      <c r="J717" s="323"/>
      <c r="K717" s="323"/>
      <c r="L717" s="323"/>
      <c r="M717" s="323"/>
      <c r="N717" s="323"/>
      <c r="O717" s="323"/>
      <c r="P717" s="323"/>
      <c r="Q717" s="323"/>
    </row>
    <row r="718" spans="6:17">
      <c r="F718" s="331"/>
      <c r="G718" s="323"/>
      <c r="H718" s="323"/>
      <c r="I718" s="323"/>
      <c r="J718" s="323"/>
      <c r="K718" s="323"/>
      <c r="L718" s="323"/>
      <c r="M718" s="323"/>
      <c r="N718" s="323"/>
      <c r="O718" s="323"/>
      <c r="P718" s="323"/>
      <c r="Q718" s="323"/>
    </row>
    <row r="719" spans="6:17">
      <c r="F719" s="331"/>
      <c r="G719" s="323"/>
      <c r="H719" s="323"/>
      <c r="I719" s="323"/>
      <c r="J719" s="323"/>
      <c r="K719" s="323"/>
      <c r="L719" s="323"/>
      <c r="M719" s="323"/>
      <c r="N719" s="323"/>
      <c r="O719" s="323"/>
      <c r="P719" s="323"/>
      <c r="Q719" s="323"/>
    </row>
    <row r="720" spans="6:17">
      <c r="F720" s="331"/>
      <c r="G720" s="323"/>
      <c r="H720" s="323"/>
      <c r="I720" s="323"/>
      <c r="J720" s="323"/>
      <c r="K720" s="323"/>
      <c r="L720" s="323"/>
      <c r="M720" s="323"/>
      <c r="N720" s="323"/>
      <c r="O720" s="323"/>
      <c r="P720" s="323"/>
      <c r="Q720" s="323"/>
    </row>
    <row r="721" spans="6:17">
      <c r="F721" s="331"/>
      <c r="G721" s="323"/>
      <c r="H721" s="323"/>
      <c r="I721" s="323"/>
      <c r="J721" s="323"/>
      <c r="K721" s="323"/>
      <c r="L721" s="323"/>
      <c r="M721" s="323"/>
      <c r="N721" s="323"/>
      <c r="O721" s="323"/>
      <c r="P721" s="323"/>
      <c r="Q721" s="323"/>
    </row>
    <row r="722" spans="6:17">
      <c r="F722" s="331"/>
      <c r="G722" s="323"/>
      <c r="H722" s="323"/>
      <c r="I722" s="323"/>
      <c r="J722" s="323"/>
      <c r="K722" s="323"/>
      <c r="L722" s="323"/>
      <c r="M722" s="323"/>
      <c r="N722" s="323"/>
      <c r="O722" s="323"/>
      <c r="P722" s="323"/>
      <c r="Q722" s="323"/>
    </row>
    <row r="723" spans="6:17">
      <c r="F723" s="331"/>
      <c r="G723" s="323"/>
      <c r="H723" s="323"/>
      <c r="I723" s="323"/>
      <c r="J723" s="323"/>
      <c r="K723" s="323"/>
      <c r="L723" s="323"/>
      <c r="M723" s="323"/>
      <c r="N723" s="323"/>
      <c r="O723" s="323"/>
      <c r="P723" s="323"/>
      <c r="Q723" s="323"/>
    </row>
    <row r="724" spans="6:17">
      <c r="F724" s="331"/>
      <c r="G724" s="323"/>
      <c r="H724" s="323"/>
      <c r="I724" s="323"/>
      <c r="J724" s="323"/>
      <c r="K724" s="323"/>
      <c r="L724" s="323"/>
      <c r="M724" s="323"/>
      <c r="N724" s="323"/>
      <c r="O724" s="323"/>
      <c r="P724" s="323"/>
      <c r="Q724" s="323"/>
    </row>
    <row r="725" spans="6:17">
      <c r="F725" s="331"/>
      <c r="G725" s="323"/>
      <c r="H725" s="323"/>
      <c r="I725" s="323"/>
      <c r="J725" s="323"/>
      <c r="K725" s="323"/>
      <c r="L725" s="323"/>
      <c r="M725" s="323"/>
      <c r="N725" s="323"/>
      <c r="O725" s="323"/>
      <c r="P725" s="323"/>
      <c r="Q725" s="323"/>
    </row>
    <row r="726" spans="6:17">
      <c r="F726" s="331"/>
      <c r="G726" s="323"/>
      <c r="H726" s="323"/>
      <c r="I726" s="323"/>
      <c r="J726" s="323"/>
      <c r="K726" s="323"/>
      <c r="L726" s="323"/>
      <c r="M726" s="323"/>
      <c r="N726" s="323"/>
      <c r="O726" s="323"/>
      <c r="P726" s="323"/>
      <c r="Q726" s="323"/>
    </row>
    <row r="727" spans="6:17">
      <c r="F727" s="331"/>
      <c r="G727" s="323"/>
      <c r="H727" s="323"/>
      <c r="I727" s="323"/>
      <c r="J727" s="323"/>
      <c r="K727" s="323"/>
      <c r="L727" s="323"/>
      <c r="M727" s="323"/>
      <c r="N727" s="323"/>
      <c r="O727" s="323"/>
      <c r="P727" s="323"/>
      <c r="Q727" s="323"/>
    </row>
    <row r="728" spans="6:17">
      <c r="F728" s="331"/>
      <c r="G728" s="323"/>
      <c r="H728" s="323"/>
      <c r="I728" s="323"/>
      <c r="J728" s="323"/>
      <c r="K728" s="323"/>
      <c r="L728" s="323"/>
      <c r="M728" s="323"/>
      <c r="N728" s="323"/>
      <c r="O728" s="323"/>
      <c r="P728" s="323"/>
      <c r="Q728" s="323"/>
    </row>
    <row r="729" spans="6:17">
      <c r="F729" s="331"/>
      <c r="G729" s="323"/>
      <c r="H729" s="323"/>
      <c r="I729" s="323"/>
      <c r="J729" s="323"/>
      <c r="K729" s="323"/>
      <c r="L729" s="323"/>
      <c r="M729" s="323"/>
      <c r="N729" s="323"/>
      <c r="O729" s="323"/>
      <c r="P729" s="323"/>
      <c r="Q729" s="323"/>
    </row>
    <row r="730" spans="6:17">
      <c r="F730" s="331"/>
      <c r="G730" s="323"/>
      <c r="H730" s="323"/>
      <c r="I730" s="323"/>
      <c r="J730" s="323"/>
      <c r="K730" s="323"/>
      <c r="L730" s="323"/>
      <c r="M730" s="323"/>
      <c r="N730" s="323"/>
      <c r="O730" s="323"/>
      <c r="P730" s="323"/>
      <c r="Q730" s="323"/>
    </row>
    <row r="731" spans="6:17">
      <c r="F731" s="331"/>
      <c r="G731" s="323"/>
      <c r="H731" s="323"/>
      <c r="I731" s="323"/>
      <c r="J731" s="323"/>
      <c r="K731" s="323"/>
      <c r="L731" s="323"/>
      <c r="M731" s="323"/>
      <c r="N731" s="323"/>
      <c r="O731" s="323"/>
      <c r="P731" s="323"/>
      <c r="Q731" s="323"/>
    </row>
    <row r="732" spans="6:17">
      <c r="F732" s="331"/>
      <c r="G732" s="323"/>
      <c r="H732" s="323"/>
      <c r="I732" s="323"/>
      <c r="J732" s="323"/>
      <c r="K732" s="323"/>
      <c r="L732" s="323"/>
      <c r="M732" s="323"/>
      <c r="N732" s="323"/>
      <c r="O732" s="323"/>
      <c r="P732" s="323"/>
      <c r="Q732" s="323"/>
    </row>
    <row r="733" spans="6:17">
      <c r="F733" s="331"/>
      <c r="G733" s="323"/>
      <c r="H733" s="323"/>
      <c r="I733" s="323"/>
      <c r="J733" s="323"/>
      <c r="K733" s="323"/>
      <c r="L733" s="323"/>
      <c r="M733" s="323"/>
      <c r="N733" s="323"/>
      <c r="O733" s="323"/>
      <c r="P733" s="323"/>
      <c r="Q733" s="323"/>
    </row>
    <row r="734" spans="6:17">
      <c r="F734" s="331"/>
      <c r="G734" s="323"/>
      <c r="H734" s="323"/>
      <c r="I734" s="323"/>
      <c r="J734" s="323"/>
      <c r="K734" s="323"/>
      <c r="L734" s="323"/>
      <c r="M734" s="323"/>
      <c r="N734" s="323"/>
      <c r="O734" s="323"/>
      <c r="P734" s="323"/>
      <c r="Q734" s="323"/>
    </row>
    <row r="735" spans="6:17">
      <c r="F735" s="331"/>
      <c r="G735" s="323"/>
      <c r="H735" s="323"/>
      <c r="I735" s="323"/>
      <c r="J735" s="323"/>
      <c r="K735" s="323"/>
      <c r="L735" s="323"/>
      <c r="M735" s="323"/>
      <c r="N735" s="323"/>
      <c r="O735" s="323"/>
      <c r="P735" s="323"/>
      <c r="Q735" s="323"/>
    </row>
    <row r="736" spans="6:17">
      <c r="F736" s="331"/>
      <c r="G736" s="323"/>
      <c r="H736" s="323"/>
      <c r="I736" s="323"/>
      <c r="J736" s="323"/>
      <c r="K736" s="323"/>
      <c r="L736" s="323"/>
      <c r="M736" s="323"/>
      <c r="N736" s="323"/>
      <c r="O736" s="323"/>
      <c r="P736" s="323"/>
      <c r="Q736" s="323"/>
    </row>
    <row r="737" spans="6:17">
      <c r="F737" s="331"/>
      <c r="G737" s="323"/>
      <c r="H737" s="323"/>
      <c r="I737" s="323"/>
      <c r="J737" s="323"/>
      <c r="K737" s="323"/>
      <c r="L737" s="323"/>
      <c r="M737" s="323"/>
      <c r="N737" s="323"/>
      <c r="O737" s="323"/>
      <c r="P737" s="323"/>
      <c r="Q737" s="323"/>
    </row>
    <row r="738" spans="6:17">
      <c r="F738" s="331"/>
      <c r="G738" s="323"/>
      <c r="H738" s="323"/>
      <c r="I738" s="323"/>
      <c r="J738" s="323"/>
      <c r="K738" s="323"/>
      <c r="L738" s="323"/>
      <c r="M738" s="323"/>
      <c r="N738" s="323"/>
      <c r="O738" s="323"/>
      <c r="P738" s="323"/>
      <c r="Q738" s="323"/>
    </row>
    <row r="739" spans="6:17">
      <c r="F739" s="331"/>
      <c r="G739" s="323"/>
      <c r="H739" s="323"/>
      <c r="I739" s="323"/>
      <c r="J739" s="323"/>
      <c r="K739" s="323"/>
      <c r="L739" s="323"/>
      <c r="M739" s="323"/>
      <c r="N739" s="323"/>
      <c r="O739" s="323"/>
      <c r="P739" s="323"/>
      <c r="Q739" s="323"/>
    </row>
    <row r="740" spans="6:17">
      <c r="F740" s="331"/>
      <c r="G740" s="323"/>
      <c r="H740" s="323"/>
      <c r="I740" s="323"/>
      <c r="J740" s="323"/>
      <c r="K740" s="323"/>
      <c r="L740" s="323"/>
      <c r="M740" s="323"/>
      <c r="N740" s="323"/>
      <c r="O740" s="323"/>
      <c r="P740" s="323"/>
      <c r="Q740" s="323"/>
    </row>
    <row r="741" spans="6:17">
      <c r="F741" s="331"/>
      <c r="G741" s="323"/>
      <c r="H741" s="323"/>
      <c r="I741" s="323"/>
      <c r="J741" s="323"/>
      <c r="K741" s="323"/>
      <c r="L741" s="323"/>
      <c r="M741" s="323"/>
      <c r="N741" s="323"/>
      <c r="O741" s="323"/>
      <c r="P741" s="323"/>
      <c r="Q741" s="323"/>
    </row>
    <row r="742" spans="6:17">
      <c r="F742" s="331"/>
      <c r="G742" s="323"/>
      <c r="H742" s="323"/>
      <c r="I742" s="323"/>
      <c r="J742" s="323"/>
      <c r="K742" s="323"/>
      <c r="L742" s="323"/>
      <c r="M742" s="323"/>
      <c r="N742" s="323"/>
      <c r="O742" s="323"/>
      <c r="P742" s="323"/>
      <c r="Q742" s="323"/>
    </row>
    <row r="743" spans="6:17">
      <c r="F743" s="331"/>
      <c r="G743" s="323"/>
      <c r="H743" s="323"/>
      <c r="I743" s="323"/>
      <c r="J743" s="323"/>
      <c r="K743" s="323"/>
      <c r="L743" s="323"/>
      <c r="M743" s="323"/>
      <c r="N743" s="323"/>
      <c r="O743" s="323"/>
      <c r="P743" s="323"/>
      <c r="Q743" s="323"/>
    </row>
    <row r="744" spans="6:17">
      <c r="F744" s="331"/>
      <c r="G744" s="323"/>
      <c r="H744" s="323"/>
      <c r="I744" s="323"/>
      <c r="J744" s="323"/>
      <c r="K744" s="323"/>
      <c r="L744" s="323"/>
      <c r="M744" s="323"/>
      <c r="N744" s="323"/>
      <c r="O744" s="323"/>
      <c r="P744" s="323"/>
      <c r="Q744" s="323"/>
    </row>
    <row r="745" spans="6:17">
      <c r="F745" s="331"/>
      <c r="G745" s="323"/>
      <c r="H745" s="323"/>
      <c r="I745" s="323"/>
      <c r="J745" s="323"/>
      <c r="K745" s="323"/>
      <c r="L745" s="323"/>
      <c r="M745" s="323"/>
      <c r="N745" s="323"/>
      <c r="O745" s="323"/>
      <c r="P745" s="323"/>
      <c r="Q745" s="323"/>
    </row>
    <row r="746" spans="6:17">
      <c r="F746" s="331"/>
      <c r="G746" s="323"/>
      <c r="H746" s="323"/>
      <c r="I746" s="323"/>
      <c r="J746" s="323"/>
      <c r="K746" s="323"/>
      <c r="L746" s="323"/>
      <c r="M746" s="323"/>
      <c r="N746" s="323"/>
      <c r="O746" s="323"/>
      <c r="P746" s="323"/>
      <c r="Q746" s="323"/>
    </row>
    <row r="747" spans="6:17">
      <c r="F747" s="331"/>
      <c r="G747" s="323"/>
      <c r="H747" s="323"/>
      <c r="I747" s="323"/>
      <c r="J747" s="323"/>
      <c r="K747" s="323"/>
      <c r="L747" s="323"/>
      <c r="M747" s="323"/>
      <c r="N747" s="323"/>
      <c r="O747" s="323"/>
      <c r="P747" s="323"/>
      <c r="Q747" s="323"/>
    </row>
    <row r="748" spans="6:17">
      <c r="F748" s="331"/>
      <c r="G748" s="323"/>
      <c r="H748" s="323"/>
      <c r="I748" s="323"/>
      <c r="J748" s="323"/>
      <c r="K748" s="323"/>
      <c r="L748" s="323"/>
      <c r="M748" s="323"/>
      <c r="N748" s="323"/>
      <c r="O748" s="323"/>
      <c r="P748" s="323"/>
      <c r="Q748" s="323"/>
    </row>
    <row r="749" spans="6:17">
      <c r="F749" s="331"/>
      <c r="G749" s="323"/>
      <c r="H749" s="323"/>
      <c r="I749" s="323"/>
      <c r="J749" s="323"/>
      <c r="K749" s="323"/>
      <c r="L749" s="323"/>
      <c r="M749" s="323"/>
      <c r="N749" s="323"/>
      <c r="O749" s="323"/>
      <c r="P749" s="323"/>
      <c r="Q749" s="323"/>
    </row>
    <row r="750" spans="6:17">
      <c r="F750" s="331"/>
      <c r="G750" s="323"/>
      <c r="H750" s="323"/>
      <c r="I750" s="323"/>
      <c r="J750" s="323"/>
      <c r="K750" s="323"/>
      <c r="L750" s="323"/>
      <c r="M750" s="323"/>
      <c r="N750" s="323"/>
      <c r="O750" s="323"/>
      <c r="P750" s="323"/>
      <c r="Q750" s="323"/>
    </row>
    <row r="751" spans="6:17">
      <c r="F751" s="331"/>
      <c r="G751" s="323"/>
      <c r="H751" s="323"/>
      <c r="I751" s="323"/>
      <c r="J751" s="323"/>
      <c r="K751" s="323"/>
      <c r="L751" s="323"/>
      <c r="M751" s="323"/>
      <c r="N751" s="323"/>
      <c r="O751" s="323"/>
      <c r="P751" s="323"/>
      <c r="Q751" s="323"/>
    </row>
    <row r="752" spans="6:17">
      <c r="F752" s="331"/>
      <c r="G752" s="323"/>
      <c r="H752" s="323"/>
      <c r="I752" s="323"/>
      <c r="J752" s="323"/>
      <c r="K752" s="323"/>
      <c r="L752" s="323"/>
      <c r="M752" s="323"/>
      <c r="N752" s="323"/>
      <c r="O752" s="323"/>
      <c r="P752" s="323"/>
      <c r="Q752" s="323"/>
    </row>
    <row r="753" spans="6:17">
      <c r="F753" s="331"/>
      <c r="G753" s="323"/>
      <c r="H753" s="323"/>
      <c r="I753" s="323"/>
      <c r="J753" s="323"/>
      <c r="K753" s="323"/>
      <c r="L753" s="323"/>
      <c r="M753" s="323"/>
      <c r="N753" s="323"/>
      <c r="O753" s="323"/>
      <c r="P753" s="323"/>
      <c r="Q753" s="323"/>
    </row>
    <row r="754" spans="6:17">
      <c r="F754" s="331"/>
      <c r="G754" s="323"/>
      <c r="H754" s="323"/>
      <c r="I754" s="323"/>
      <c r="J754" s="323"/>
      <c r="K754" s="323"/>
      <c r="L754" s="323"/>
      <c r="M754" s="323"/>
      <c r="N754" s="323"/>
      <c r="O754" s="323"/>
      <c r="P754" s="323"/>
      <c r="Q754" s="323"/>
    </row>
    <row r="755" spans="6:17">
      <c r="F755" s="331"/>
      <c r="G755" s="323"/>
      <c r="H755" s="323"/>
      <c r="I755" s="323"/>
      <c r="J755" s="323"/>
      <c r="K755" s="323"/>
      <c r="L755" s="323"/>
      <c r="M755" s="323"/>
      <c r="N755" s="323"/>
      <c r="O755" s="323"/>
      <c r="P755" s="323"/>
      <c r="Q755" s="323"/>
    </row>
    <row r="756" spans="6:17">
      <c r="F756" s="331"/>
      <c r="G756" s="323"/>
      <c r="H756" s="323"/>
      <c r="I756" s="323"/>
      <c r="J756" s="323"/>
      <c r="K756" s="323"/>
      <c r="L756" s="323"/>
      <c r="M756" s="323"/>
      <c r="N756" s="323"/>
      <c r="O756" s="323"/>
      <c r="P756" s="323"/>
      <c r="Q756" s="323"/>
    </row>
    <row r="757" spans="6:17">
      <c r="F757" s="331"/>
      <c r="G757" s="323"/>
      <c r="H757" s="323"/>
      <c r="I757" s="323"/>
      <c r="J757" s="323"/>
      <c r="K757" s="323"/>
      <c r="L757" s="323"/>
      <c r="M757" s="323"/>
      <c r="N757" s="323"/>
      <c r="O757" s="323"/>
      <c r="P757" s="323"/>
      <c r="Q757" s="323"/>
    </row>
    <row r="758" spans="6:17">
      <c r="F758" s="331"/>
      <c r="G758" s="323"/>
      <c r="H758" s="323"/>
      <c r="I758" s="323"/>
      <c r="J758" s="323"/>
      <c r="K758" s="323"/>
      <c r="L758" s="323"/>
      <c r="M758" s="323"/>
      <c r="N758" s="323"/>
      <c r="O758" s="323"/>
      <c r="P758" s="323"/>
      <c r="Q758" s="323"/>
    </row>
    <row r="759" spans="6:17">
      <c r="F759" s="331"/>
      <c r="G759" s="323"/>
      <c r="H759" s="323"/>
      <c r="I759" s="323"/>
      <c r="J759" s="323"/>
      <c r="K759" s="323"/>
      <c r="L759" s="323"/>
      <c r="M759" s="323"/>
      <c r="N759" s="323"/>
      <c r="O759" s="323"/>
      <c r="P759" s="323"/>
      <c r="Q759" s="323"/>
    </row>
    <row r="760" spans="6:17">
      <c r="F760" s="331"/>
      <c r="G760" s="323"/>
      <c r="H760" s="323"/>
      <c r="I760" s="323"/>
      <c r="J760" s="323"/>
      <c r="K760" s="323"/>
      <c r="L760" s="323"/>
      <c r="M760" s="323"/>
      <c r="N760" s="323"/>
      <c r="O760" s="323"/>
      <c r="P760" s="323"/>
      <c r="Q760" s="323"/>
    </row>
    <row r="761" spans="6:17">
      <c r="F761" s="331"/>
      <c r="G761" s="323"/>
      <c r="H761" s="323"/>
      <c r="I761" s="323"/>
      <c r="J761" s="323"/>
      <c r="K761" s="323"/>
      <c r="L761" s="323"/>
      <c r="M761" s="323"/>
      <c r="N761" s="323"/>
      <c r="O761" s="323"/>
      <c r="P761" s="323"/>
      <c r="Q761" s="323"/>
    </row>
    <row r="762" spans="6:17">
      <c r="F762" s="331"/>
      <c r="G762" s="323"/>
      <c r="H762" s="323"/>
      <c r="I762" s="323"/>
      <c r="J762" s="323"/>
      <c r="K762" s="323"/>
      <c r="L762" s="323"/>
      <c r="M762" s="323"/>
      <c r="N762" s="323"/>
      <c r="O762" s="323"/>
      <c r="P762" s="323"/>
      <c r="Q762" s="323"/>
    </row>
    <row r="763" spans="6:17">
      <c r="F763" s="331"/>
      <c r="G763" s="323"/>
      <c r="H763" s="323"/>
      <c r="I763" s="323"/>
      <c r="J763" s="323"/>
      <c r="K763" s="323"/>
      <c r="L763" s="323"/>
      <c r="M763" s="323"/>
      <c r="N763" s="323"/>
      <c r="O763" s="323"/>
      <c r="P763" s="323"/>
      <c r="Q763" s="323"/>
    </row>
    <row r="764" spans="6:17">
      <c r="F764" s="331"/>
      <c r="G764" s="323"/>
      <c r="H764" s="323"/>
      <c r="I764" s="323"/>
      <c r="J764" s="323"/>
      <c r="K764" s="323"/>
      <c r="L764" s="323"/>
      <c r="M764" s="323"/>
      <c r="N764" s="323"/>
      <c r="O764" s="323"/>
      <c r="P764" s="323"/>
      <c r="Q764" s="323"/>
    </row>
    <row r="765" spans="6:17">
      <c r="F765" s="331"/>
      <c r="G765" s="323"/>
      <c r="H765" s="323"/>
      <c r="I765" s="323"/>
      <c r="J765" s="323"/>
      <c r="K765" s="323"/>
      <c r="L765" s="323"/>
      <c r="M765" s="323"/>
      <c r="N765" s="323"/>
      <c r="O765" s="323"/>
      <c r="P765" s="323"/>
      <c r="Q765" s="323"/>
    </row>
    <row r="766" spans="6:17">
      <c r="F766" s="331"/>
      <c r="G766" s="323"/>
      <c r="H766" s="323"/>
      <c r="I766" s="323"/>
      <c r="J766" s="323"/>
      <c r="K766" s="323"/>
      <c r="L766" s="323"/>
      <c r="M766" s="323"/>
      <c r="N766" s="323"/>
      <c r="O766" s="323"/>
      <c r="P766" s="323"/>
      <c r="Q766" s="323"/>
    </row>
    <row r="767" spans="6:17">
      <c r="F767" s="331"/>
      <c r="G767" s="323"/>
      <c r="H767" s="323"/>
      <c r="I767" s="323"/>
      <c r="J767" s="323"/>
      <c r="K767" s="323"/>
      <c r="L767" s="323"/>
      <c r="M767" s="323"/>
      <c r="N767" s="323"/>
      <c r="O767" s="323"/>
      <c r="P767" s="323"/>
      <c r="Q767" s="323"/>
    </row>
    <row r="768" spans="6:17">
      <c r="F768" s="331"/>
      <c r="G768" s="323"/>
      <c r="H768" s="323"/>
      <c r="I768" s="323"/>
      <c r="J768" s="323"/>
      <c r="K768" s="323"/>
      <c r="L768" s="323"/>
      <c r="M768" s="323"/>
      <c r="N768" s="323"/>
      <c r="O768" s="323"/>
      <c r="P768" s="323"/>
      <c r="Q768" s="323"/>
    </row>
    <row r="769" spans="6:17">
      <c r="F769" s="331"/>
      <c r="G769" s="323"/>
      <c r="H769" s="323"/>
      <c r="I769" s="323"/>
      <c r="J769" s="323"/>
      <c r="K769" s="323"/>
      <c r="L769" s="323"/>
      <c r="M769" s="323"/>
      <c r="N769" s="323"/>
      <c r="O769" s="323"/>
      <c r="P769" s="323"/>
      <c r="Q769" s="323"/>
    </row>
    <row r="770" spans="6:17">
      <c r="F770" s="331"/>
      <c r="G770" s="323"/>
      <c r="H770" s="323"/>
      <c r="I770" s="323"/>
      <c r="J770" s="323"/>
      <c r="K770" s="323"/>
      <c r="L770" s="323"/>
      <c r="M770" s="323"/>
      <c r="N770" s="323"/>
      <c r="O770" s="323"/>
      <c r="P770" s="323"/>
      <c r="Q770" s="323"/>
    </row>
    <row r="771" spans="6:17">
      <c r="F771" s="331"/>
      <c r="G771" s="323"/>
      <c r="H771" s="323"/>
      <c r="I771" s="323"/>
      <c r="J771" s="323"/>
      <c r="K771" s="323"/>
      <c r="L771" s="323"/>
      <c r="M771" s="323"/>
      <c r="N771" s="323"/>
      <c r="O771" s="323"/>
      <c r="P771" s="323"/>
      <c r="Q771" s="323"/>
    </row>
    <row r="772" spans="6:17">
      <c r="F772" s="331"/>
      <c r="G772" s="323"/>
      <c r="H772" s="323"/>
      <c r="I772" s="323"/>
      <c r="J772" s="323"/>
      <c r="K772" s="323"/>
      <c r="L772" s="323"/>
      <c r="M772" s="323"/>
      <c r="N772" s="323"/>
      <c r="O772" s="323"/>
      <c r="P772" s="323"/>
      <c r="Q772" s="323"/>
    </row>
    <row r="773" spans="6:17">
      <c r="F773" s="331"/>
      <c r="G773" s="323"/>
      <c r="H773" s="323"/>
      <c r="I773" s="323"/>
      <c r="J773" s="323"/>
      <c r="K773" s="323"/>
      <c r="L773" s="323"/>
      <c r="M773" s="323"/>
      <c r="N773" s="323"/>
      <c r="O773" s="323"/>
      <c r="P773" s="323"/>
      <c r="Q773" s="323"/>
    </row>
    <row r="774" spans="6:17">
      <c r="F774" s="331"/>
      <c r="G774" s="323"/>
      <c r="H774" s="323"/>
      <c r="I774" s="323"/>
      <c r="J774" s="323"/>
      <c r="K774" s="323"/>
      <c r="L774" s="323"/>
      <c r="M774" s="323"/>
      <c r="N774" s="323"/>
      <c r="O774" s="323"/>
      <c r="P774" s="323"/>
      <c r="Q774" s="323"/>
    </row>
    <row r="775" spans="6:17">
      <c r="F775" s="331"/>
      <c r="G775" s="323"/>
      <c r="H775" s="323"/>
      <c r="I775" s="323"/>
      <c r="J775" s="323"/>
      <c r="K775" s="323"/>
      <c r="L775" s="323"/>
      <c r="M775" s="323"/>
      <c r="N775" s="323"/>
      <c r="O775" s="323"/>
      <c r="P775" s="323"/>
      <c r="Q775" s="323"/>
    </row>
    <row r="776" spans="6:17">
      <c r="F776" s="331"/>
      <c r="G776" s="323"/>
      <c r="H776" s="323"/>
      <c r="I776" s="323"/>
      <c r="J776" s="323"/>
      <c r="K776" s="323"/>
      <c r="L776" s="323"/>
      <c r="M776" s="323"/>
      <c r="N776" s="323"/>
      <c r="O776" s="323"/>
      <c r="P776" s="323"/>
      <c r="Q776" s="323"/>
    </row>
    <row r="777" spans="6:17">
      <c r="F777" s="331"/>
      <c r="G777" s="323"/>
      <c r="H777" s="323"/>
      <c r="I777" s="323"/>
      <c r="J777" s="323"/>
      <c r="K777" s="323"/>
      <c r="L777" s="323"/>
      <c r="M777" s="323"/>
      <c r="N777" s="323"/>
      <c r="O777" s="323"/>
      <c r="P777" s="323"/>
      <c r="Q777" s="323"/>
    </row>
    <row r="778" spans="6:17">
      <c r="F778" s="331"/>
      <c r="G778" s="323"/>
      <c r="H778" s="323"/>
      <c r="I778" s="323"/>
      <c r="J778" s="323"/>
      <c r="K778" s="323"/>
      <c r="L778" s="323"/>
      <c r="M778" s="323"/>
      <c r="N778" s="323"/>
      <c r="O778" s="323"/>
      <c r="P778" s="323"/>
      <c r="Q778" s="323"/>
    </row>
    <row r="779" spans="6:17">
      <c r="F779" s="331"/>
      <c r="G779" s="323"/>
      <c r="H779" s="323"/>
      <c r="I779" s="323"/>
      <c r="J779" s="323"/>
      <c r="K779" s="323"/>
      <c r="L779" s="323"/>
      <c r="M779" s="323"/>
      <c r="N779" s="323"/>
      <c r="O779" s="323"/>
      <c r="P779" s="323"/>
      <c r="Q779" s="323"/>
    </row>
    <row r="780" spans="6:17">
      <c r="F780" s="331"/>
      <c r="G780" s="323"/>
      <c r="H780" s="323"/>
      <c r="I780" s="323"/>
      <c r="J780" s="323"/>
      <c r="K780" s="323"/>
      <c r="L780" s="323"/>
      <c r="M780" s="323"/>
      <c r="N780" s="323"/>
      <c r="O780" s="323"/>
      <c r="P780" s="323"/>
      <c r="Q780" s="323"/>
    </row>
    <row r="781" spans="6:17">
      <c r="F781" s="331"/>
      <c r="G781" s="323"/>
      <c r="H781" s="323"/>
      <c r="I781" s="323"/>
      <c r="J781" s="323"/>
      <c r="K781" s="323"/>
      <c r="L781" s="323"/>
      <c r="M781" s="323"/>
      <c r="N781" s="323"/>
      <c r="O781" s="323"/>
      <c r="P781" s="323"/>
      <c r="Q781" s="323"/>
    </row>
    <row r="782" spans="6:17">
      <c r="F782" s="331"/>
      <c r="G782" s="323"/>
      <c r="H782" s="323"/>
      <c r="I782" s="323"/>
      <c r="J782" s="323"/>
      <c r="K782" s="323"/>
      <c r="L782" s="323"/>
      <c r="M782" s="323"/>
      <c r="N782" s="323"/>
      <c r="O782" s="323"/>
      <c r="P782" s="323"/>
      <c r="Q782" s="323"/>
    </row>
    <row r="783" spans="6:17">
      <c r="F783" s="331"/>
      <c r="G783" s="323"/>
      <c r="H783" s="323"/>
      <c r="I783" s="323"/>
      <c r="J783" s="323"/>
      <c r="K783" s="323"/>
      <c r="L783" s="323"/>
      <c r="M783" s="323"/>
      <c r="N783" s="323"/>
      <c r="O783" s="323"/>
      <c r="P783" s="323"/>
      <c r="Q783" s="323"/>
    </row>
    <row r="784" spans="6:17">
      <c r="F784" s="331"/>
      <c r="G784" s="323"/>
      <c r="H784" s="323"/>
      <c r="I784" s="323"/>
      <c r="J784" s="323"/>
      <c r="K784" s="323"/>
      <c r="L784" s="323"/>
      <c r="M784" s="323"/>
      <c r="N784" s="323"/>
      <c r="O784" s="323"/>
      <c r="P784" s="323"/>
      <c r="Q784" s="323"/>
    </row>
    <row r="785" spans="6:17">
      <c r="F785" s="331"/>
      <c r="G785" s="323"/>
      <c r="H785" s="323"/>
      <c r="I785" s="323"/>
      <c r="J785" s="323"/>
      <c r="K785" s="323"/>
      <c r="L785" s="323"/>
      <c r="M785" s="323"/>
      <c r="N785" s="323"/>
      <c r="O785" s="323"/>
      <c r="P785" s="323"/>
      <c r="Q785" s="323"/>
    </row>
    <row r="786" spans="6:17">
      <c r="F786" s="331"/>
      <c r="G786" s="323"/>
      <c r="H786" s="323"/>
      <c r="I786" s="323"/>
      <c r="J786" s="323"/>
      <c r="K786" s="323"/>
      <c r="L786" s="323"/>
      <c r="M786" s="323"/>
      <c r="N786" s="323"/>
      <c r="O786" s="323"/>
      <c r="P786" s="323"/>
      <c r="Q786" s="323"/>
    </row>
    <row r="787" spans="6:17">
      <c r="F787" s="331"/>
      <c r="G787" s="323"/>
      <c r="H787" s="323"/>
      <c r="I787" s="323"/>
      <c r="J787" s="323"/>
      <c r="K787" s="323"/>
      <c r="L787" s="323"/>
      <c r="M787" s="323"/>
      <c r="N787" s="323"/>
      <c r="O787" s="323"/>
      <c r="P787" s="323"/>
      <c r="Q787" s="323"/>
    </row>
    <row r="788" spans="6:17">
      <c r="F788" s="331"/>
      <c r="G788" s="323"/>
      <c r="H788" s="323"/>
      <c r="I788" s="323"/>
      <c r="J788" s="323"/>
      <c r="K788" s="323"/>
      <c r="L788" s="323"/>
      <c r="M788" s="323"/>
      <c r="N788" s="323"/>
      <c r="O788" s="323"/>
      <c r="P788" s="323"/>
      <c r="Q788" s="323"/>
    </row>
    <row r="789" spans="6:17">
      <c r="F789" s="331"/>
      <c r="G789" s="323"/>
      <c r="H789" s="323"/>
      <c r="I789" s="323"/>
      <c r="J789" s="323"/>
      <c r="K789" s="323"/>
      <c r="L789" s="323"/>
      <c r="M789" s="323"/>
      <c r="N789" s="323"/>
      <c r="O789" s="323"/>
      <c r="P789" s="323"/>
      <c r="Q789" s="323"/>
    </row>
    <row r="790" spans="6:17">
      <c r="F790" s="331"/>
      <c r="G790" s="323"/>
      <c r="H790" s="323"/>
      <c r="I790" s="323"/>
      <c r="J790" s="323"/>
      <c r="K790" s="323"/>
      <c r="L790" s="323"/>
      <c r="M790" s="323"/>
      <c r="N790" s="323"/>
      <c r="O790" s="323"/>
      <c r="P790" s="323"/>
      <c r="Q790" s="323"/>
    </row>
    <row r="791" spans="6:17">
      <c r="F791" s="331"/>
      <c r="G791" s="323"/>
      <c r="H791" s="323"/>
      <c r="I791" s="323"/>
      <c r="J791" s="323"/>
      <c r="K791" s="323"/>
      <c r="L791" s="323"/>
      <c r="M791" s="323"/>
      <c r="N791" s="323"/>
      <c r="O791" s="323"/>
      <c r="P791" s="323"/>
      <c r="Q791" s="323"/>
    </row>
    <row r="792" spans="6:17">
      <c r="F792" s="331"/>
      <c r="G792" s="323"/>
      <c r="H792" s="323"/>
      <c r="I792" s="323"/>
      <c r="J792" s="323"/>
      <c r="K792" s="323"/>
      <c r="L792" s="323"/>
      <c r="M792" s="323"/>
      <c r="N792" s="323"/>
      <c r="O792" s="323"/>
      <c r="P792" s="323"/>
      <c r="Q792" s="323"/>
    </row>
    <row r="793" spans="6:17">
      <c r="F793" s="331"/>
      <c r="G793" s="323"/>
      <c r="H793" s="323"/>
      <c r="I793" s="323"/>
      <c r="J793" s="323"/>
      <c r="K793" s="323"/>
      <c r="L793" s="323"/>
      <c r="M793" s="323"/>
      <c r="N793" s="323"/>
      <c r="O793" s="323"/>
      <c r="P793" s="323"/>
      <c r="Q793" s="323"/>
    </row>
    <row r="794" spans="6:17">
      <c r="F794" s="331"/>
      <c r="G794" s="323"/>
      <c r="H794" s="323"/>
      <c r="I794" s="323"/>
      <c r="J794" s="323"/>
      <c r="K794" s="323"/>
      <c r="L794" s="323"/>
      <c r="M794" s="323"/>
      <c r="N794" s="323"/>
      <c r="O794" s="323"/>
      <c r="P794" s="323"/>
      <c r="Q794" s="323"/>
    </row>
    <row r="795" spans="6:17">
      <c r="F795" s="331"/>
      <c r="G795" s="323"/>
      <c r="H795" s="323"/>
      <c r="I795" s="323"/>
      <c r="J795" s="323"/>
      <c r="K795" s="323"/>
      <c r="L795" s="323"/>
      <c r="M795" s="323"/>
      <c r="N795" s="323"/>
      <c r="O795" s="323"/>
      <c r="P795" s="323"/>
      <c r="Q795" s="323"/>
    </row>
    <row r="796" spans="6:17">
      <c r="F796" s="331"/>
      <c r="G796" s="323"/>
      <c r="H796" s="323"/>
      <c r="I796" s="323"/>
      <c r="J796" s="323"/>
      <c r="K796" s="323"/>
      <c r="L796" s="323"/>
      <c r="M796" s="323"/>
      <c r="N796" s="323"/>
      <c r="O796" s="323"/>
      <c r="P796" s="323"/>
      <c r="Q796" s="323"/>
    </row>
    <row r="797" spans="6:17">
      <c r="F797" s="331"/>
      <c r="G797" s="323"/>
      <c r="H797" s="323"/>
      <c r="I797" s="323"/>
      <c r="J797" s="323"/>
      <c r="K797" s="323"/>
      <c r="L797" s="323"/>
      <c r="M797" s="323"/>
      <c r="N797" s="323"/>
      <c r="O797" s="323"/>
      <c r="P797" s="323"/>
      <c r="Q797" s="323"/>
    </row>
    <row r="798" spans="6:17">
      <c r="F798" s="331"/>
      <c r="G798" s="323"/>
      <c r="H798" s="323"/>
      <c r="I798" s="323"/>
      <c r="J798" s="323"/>
      <c r="K798" s="323"/>
      <c r="L798" s="323"/>
      <c r="M798" s="323"/>
      <c r="N798" s="323"/>
      <c r="O798" s="323"/>
      <c r="P798" s="323"/>
      <c r="Q798" s="323"/>
    </row>
    <row r="799" spans="6:17">
      <c r="F799" s="331"/>
      <c r="G799" s="323"/>
      <c r="H799" s="323"/>
      <c r="I799" s="323"/>
      <c r="J799" s="323"/>
      <c r="K799" s="323"/>
      <c r="L799" s="323"/>
      <c r="M799" s="323"/>
      <c r="N799" s="323"/>
      <c r="O799" s="323"/>
      <c r="P799" s="323"/>
      <c r="Q799" s="323"/>
    </row>
    <row r="800" spans="6:17">
      <c r="F800" s="331"/>
      <c r="G800" s="323"/>
      <c r="H800" s="323"/>
      <c r="I800" s="323"/>
      <c r="J800" s="323"/>
      <c r="K800" s="323"/>
      <c r="L800" s="323"/>
      <c r="M800" s="323"/>
      <c r="N800" s="323"/>
      <c r="O800" s="323"/>
      <c r="P800" s="323"/>
      <c r="Q800" s="323"/>
    </row>
    <row r="801" spans="6:17">
      <c r="F801" s="331"/>
      <c r="G801" s="323"/>
      <c r="H801" s="323"/>
      <c r="I801" s="323"/>
      <c r="J801" s="323"/>
      <c r="K801" s="323"/>
      <c r="L801" s="323"/>
      <c r="M801" s="323"/>
      <c r="N801" s="323"/>
      <c r="O801" s="323"/>
      <c r="P801" s="323"/>
      <c r="Q801" s="323"/>
    </row>
    <row r="802" spans="6:17">
      <c r="F802" s="331"/>
      <c r="G802" s="323"/>
      <c r="H802" s="323"/>
      <c r="I802" s="323"/>
      <c r="J802" s="323"/>
      <c r="K802" s="323"/>
      <c r="L802" s="323"/>
      <c r="M802" s="323"/>
      <c r="N802" s="323"/>
      <c r="O802" s="323"/>
      <c r="P802" s="323"/>
      <c r="Q802" s="323"/>
    </row>
    <row r="803" spans="6:17">
      <c r="F803" s="331"/>
      <c r="G803" s="323"/>
      <c r="H803" s="323"/>
      <c r="I803" s="323"/>
      <c r="J803" s="323"/>
      <c r="K803" s="323"/>
      <c r="L803" s="323"/>
      <c r="M803" s="323"/>
      <c r="N803" s="323"/>
      <c r="O803" s="323"/>
      <c r="P803" s="323"/>
      <c r="Q803" s="323"/>
    </row>
    <row r="804" spans="6:17">
      <c r="F804" s="331"/>
      <c r="G804" s="323"/>
      <c r="H804" s="323"/>
      <c r="I804" s="323"/>
      <c r="J804" s="323"/>
      <c r="K804" s="323"/>
      <c r="L804" s="323"/>
      <c r="M804" s="323"/>
      <c r="N804" s="323"/>
      <c r="O804" s="323"/>
      <c r="P804" s="323"/>
      <c r="Q804" s="323"/>
    </row>
    <row r="805" spans="6:17">
      <c r="F805" s="331"/>
      <c r="G805" s="323"/>
      <c r="H805" s="323"/>
      <c r="I805" s="323"/>
      <c r="J805" s="323"/>
      <c r="K805" s="323"/>
      <c r="L805" s="323"/>
      <c r="M805" s="323"/>
      <c r="N805" s="323"/>
      <c r="O805" s="323"/>
      <c r="P805" s="323"/>
      <c r="Q805" s="323"/>
    </row>
    <row r="806" spans="6:17">
      <c r="F806" s="331"/>
      <c r="G806" s="323"/>
      <c r="H806" s="323"/>
      <c r="I806" s="323"/>
      <c r="J806" s="323"/>
      <c r="K806" s="323"/>
      <c r="L806" s="323"/>
      <c r="M806" s="323"/>
      <c r="N806" s="323"/>
      <c r="O806" s="323"/>
      <c r="P806" s="323"/>
      <c r="Q806" s="323"/>
    </row>
    <row r="807" spans="6:17">
      <c r="F807" s="331"/>
      <c r="G807" s="323"/>
      <c r="H807" s="323"/>
      <c r="I807" s="323"/>
      <c r="J807" s="323"/>
      <c r="K807" s="323"/>
      <c r="L807" s="323"/>
      <c r="M807" s="323"/>
      <c r="N807" s="323"/>
      <c r="O807" s="323"/>
      <c r="P807" s="323"/>
      <c r="Q807" s="323"/>
    </row>
    <row r="808" spans="6:17">
      <c r="F808" s="331"/>
      <c r="G808" s="323"/>
      <c r="H808" s="323"/>
      <c r="I808" s="323"/>
      <c r="J808" s="323"/>
      <c r="K808" s="323"/>
      <c r="L808" s="323"/>
      <c r="M808" s="323"/>
      <c r="N808" s="323"/>
      <c r="O808" s="323"/>
      <c r="P808" s="323"/>
      <c r="Q808" s="323"/>
    </row>
    <row r="809" spans="6:17">
      <c r="F809" s="331"/>
      <c r="G809" s="323"/>
      <c r="H809" s="323"/>
      <c r="I809" s="323"/>
      <c r="J809" s="323"/>
      <c r="K809" s="323"/>
      <c r="L809" s="323"/>
      <c r="M809" s="323"/>
      <c r="N809" s="323"/>
      <c r="O809" s="323"/>
      <c r="P809" s="323"/>
      <c r="Q809" s="323"/>
    </row>
    <row r="810" spans="6:17">
      <c r="F810" s="331"/>
      <c r="G810" s="323"/>
      <c r="H810" s="323"/>
      <c r="I810" s="323"/>
      <c r="J810" s="323"/>
      <c r="K810" s="323"/>
      <c r="L810" s="323"/>
      <c r="M810" s="323"/>
      <c r="N810" s="323"/>
      <c r="O810" s="323"/>
      <c r="P810" s="323"/>
      <c r="Q810" s="323"/>
    </row>
    <row r="811" spans="6:17">
      <c r="F811" s="331"/>
      <c r="G811" s="323"/>
      <c r="H811" s="323"/>
      <c r="I811" s="323"/>
      <c r="J811" s="323"/>
      <c r="K811" s="323"/>
      <c r="L811" s="323"/>
      <c r="M811" s="323"/>
      <c r="N811" s="323"/>
      <c r="O811" s="323"/>
      <c r="P811" s="323"/>
      <c r="Q811" s="323"/>
    </row>
    <row r="812" spans="6:17">
      <c r="F812" s="331"/>
      <c r="G812" s="323"/>
      <c r="H812" s="323"/>
      <c r="I812" s="323"/>
      <c r="J812" s="323"/>
      <c r="K812" s="323"/>
      <c r="L812" s="323"/>
      <c r="M812" s="323"/>
      <c r="N812" s="323"/>
      <c r="O812" s="323"/>
      <c r="P812" s="323"/>
      <c r="Q812" s="323"/>
    </row>
    <row r="813" spans="6:17">
      <c r="F813" s="331"/>
      <c r="G813" s="323"/>
      <c r="H813" s="323"/>
      <c r="I813" s="323"/>
      <c r="J813" s="323"/>
      <c r="K813" s="323"/>
      <c r="L813" s="323"/>
      <c r="M813" s="323"/>
      <c r="N813" s="323"/>
      <c r="O813" s="323"/>
      <c r="P813" s="323"/>
      <c r="Q813" s="323"/>
    </row>
    <row r="814" spans="6:17">
      <c r="F814" s="331"/>
      <c r="G814" s="323"/>
      <c r="H814" s="323"/>
      <c r="I814" s="323"/>
      <c r="J814" s="323"/>
      <c r="K814" s="323"/>
      <c r="L814" s="323"/>
      <c r="M814" s="323"/>
      <c r="N814" s="323"/>
      <c r="O814" s="323"/>
      <c r="P814" s="323"/>
      <c r="Q814" s="323"/>
    </row>
    <row r="815" spans="6:17">
      <c r="F815" s="331"/>
      <c r="G815" s="323"/>
      <c r="H815" s="323"/>
      <c r="I815" s="323"/>
      <c r="J815" s="323"/>
      <c r="K815" s="323"/>
      <c r="L815" s="323"/>
      <c r="M815" s="323"/>
      <c r="N815" s="323"/>
      <c r="O815" s="323"/>
      <c r="P815" s="323"/>
      <c r="Q815" s="323"/>
    </row>
    <row r="816" spans="6:17">
      <c r="F816" s="331"/>
      <c r="G816" s="323"/>
      <c r="H816" s="323"/>
      <c r="I816" s="323"/>
      <c r="J816" s="323"/>
      <c r="K816" s="323"/>
      <c r="L816" s="323"/>
      <c r="M816" s="323"/>
      <c r="N816" s="323"/>
      <c r="O816" s="323"/>
      <c r="P816" s="323"/>
      <c r="Q816" s="323"/>
    </row>
    <row r="817" spans="6:17">
      <c r="F817" s="331"/>
      <c r="G817" s="323"/>
      <c r="H817" s="323"/>
      <c r="I817" s="323"/>
      <c r="J817" s="323"/>
      <c r="K817" s="323"/>
      <c r="L817" s="323"/>
      <c r="M817" s="323"/>
      <c r="N817" s="323"/>
      <c r="O817" s="323"/>
      <c r="P817" s="323"/>
      <c r="Q817" s="323"/>
    </row>
    <row r="818" spans="6:17">
      <c r="F818" s="331"/>
      <c r="G818" s="323"/>
      <c r="H818" s="323"/>
      <c r="I818" s="323"/>
      <c r="J818" s="323"/>
      <c r="K818" s="323"/>
      <c r="L818" s="323"/>
      <c r="M818" s="323"/>
      <c r="N818" s="323"/>
      <c r="O818" s="323"/>
      <c r="P818" s="323"/>
      <c r="Q818" s="323"/>
    </row>
    <row r="819" spans="6:17">
      <c r="F819" s="331"/>
      <c r="G819" s="323"/>
      <c r="H819" s="323"/>
      <c r="I819" s="323"/>
      <c r="J819" s="323"/>
      <c r="K819" s="323"/>
      <c r="L819" s="323"/>
      <c r="M819" s="323"/>
      <c r="N819" s="323"/>
      <c r="O819" s="323"/>
      <c r="P819" s="323"/>
      <c r="Q819" s="323"/>
    </row>
    <row r="820" spans="6:17">
      <c r="F820" s="331"/>
      <c r="G820" s="323"/>
      <c r="H820" s="323"/>
      <c r="I820" s="323"/>
      <c r="J820" s="323"/>
      <c r="K820" s="323"/>
      <c r="L820" s="323"/>
      <c r="M820" s="323"/>
      <c r="N820" s="323"/>
      <c r="O820" s="323"/>
      <c r="P820" s="323"/>
      <c r="Q820" s="323"/>
    </row>
    <row r="821" spans="6:17">
      <c r="F821" s="331"/>
      <c r="G821" s="323"/>
      <c r="H821" s="323"/>
      <c r="I821" s="323"/>
      <c r="J821" s="323"/>
      <c r="K821" s="323"/>
      <c r="L821" s="323"/>
      <c r="M821" s="323"/>
      <c r="N821" s="323"/>
      <c r="O821" s="323"/>
      <c r="P821" s="323"/>
      <c r="Q821" s="323"/>
    </row>
    <row r="822" spans="6:17">
      <c r="F822" s="331"/>
      <c r="G822" s="323"/>
      <c r="H822" s="323"/>
      <c r="I822" s="323"/>
      <c r="J822" s="323"/>
      <c r="K822" s="323"/>
      <c r="L822" s="323"/>
      <c r="M822" s="323"/>
      <c r="N822" s="323"/>
      <c r="O822" s="323"/>
      <c r="P822" s="323"/>
      <c r="Q822" s="323"/>
    </row>
    <row r="823" spans="6:17">
      <c r="F823" s="331"/>
      <c r="G823" s="323"/>
      <c r="H823" s="323"/>
      <c r="I823" s="323"/>
      <c r="J823" s="323"/>
      <c r="K823" s="323"/>
      <c r="L823" s="323"/>
      <c r="M823" s="323"/>
      <c r="N823" s="323"/>
      <c r="O823" s="323"/>
      <c r="P823" s="323"/>
      <c r="Q823" s="323"/>
    </row>
    <row r="824" spans="6:17">
      <c r="F824" s="331"/>
      <c r="G824" s="323"/>
      <c r="H824" s="323"/>
      <c r="I824" s="323"/>
      <c r="J824" s="323"/>
      <c r="K824" s="323"/>
      <c r="L824" s="323"/>
      <c r="M824" s="323"/>
      <c r="N824" s="323"/>
      <c r="O824" s="323"/>
      <c r="P824" s="323"/>
      <c r="Q824" s="323"/>
    </row>
    <row r="825" spans="6:17">
      <c r="F825" s="331"/>
      <c r="G825" s="323"/>
      <c r="H825" s="323"/>
      <c r="I825" s="323"/>
      <c r="J825" s="323"/>
      <c r="K825" s="323"/>
      <c r="L825" s="323"/>
      <c r="M825" s="323"/>
      <c r="N825" s="323"/>
      <c r="O825" s="323"/>
      <c r="P825" s="323"/>
      <c r="Q825" s="323"/>
    </row>
    <row r="826" spans="6:17">
      <c r="F826" s="331"/>
      <c r="G826" s="323"/>
      <c r="H826" s="323"/>
      <c r="I826" s="323"/>
      <c r="J826" s="323"/>
      <c r="K826" s="323"/>
      <c r="L826" s="323"/>
      <c r="M826" s="323"/>
      <c r="N826" s="323"/>
      <c r="O826" s="323"/>
      <c r="P826" s="323"/>
      <c r="Q826" s="323"/>
    </row>
    <row r="827" spans="6:17">
      <c r="F827" s="331"/>
      <c r="G827" s="323"/>
      <c r="H827" s="323"/>
      <c r="I827" s="323"/>
      <c r="J827" s="323"/>
      <c r="K827" s="323"/>
      <c r="L827" s="323"/>
      <c r="M827" s="323"/>
      <c r="N827" s="323"/>
      <c r="O827" s="323"/>
      <c r="P827" s="323"/>
      <c r="Q827" s="323"/>
    </row>
    <row r="828" spans="6:17">
      <c r="F828" s="331"/>
      <c r="G828" s="323"/>
      <c r="H828" s="323"/>
      <c r="I828" s="323"/>
      <c r="J828" s="323"/>
      <c r="K828" s="323"/>
      <c r="L828" s="323"/>
      <c r="M828" s="323"/>
      <c r="N828" s="323"/>
      <c r="O828" s="323"/>
      <c r="P828" s="323"/>
      <c r="Q828" s="323"/>
    </row>
    <row r="829" spans="6:17">
      <c r="F829" s="331"/>
      <c r="G829" s="323"/>
      <c r="H829" s="323"/>
      <c r="I829" s="323"/>
      <c r="J829" s="323"/>
      <c r="K829" s="323"/>
      <c r="L829" s="323"/>
      <c r="M829" s="323"/>
      <c r="N829" s="323"/>
      <c r="O829" s="323"/>
      <c r="P829" s="323"/>
      <c r="Q829" s="323"/>
    </row>
    <row r="830" spans="6:17">
      <c r="F830" s="331"/>
      <c r="G830" s="323"/>
      <c r="H830" s="323"/>
      <c r="I830" s="323"/>
      <c r="J830" s="323"/>
      <c r="K830" s="323"/>
      <c r="L830" s="323"/>
      <c r="M830" s="323"/>
      <c r="N830" s="323"/>
      <c r="O830" s="323"/>
      <c r="P830" s="323"/>
      <c r="Q830" s="323"/>
    </row>
    <row r="831" spans="6:17">
      <c r="F831" s="331"/>
      <c r="G831" s="323"/>
      <c r="H831" s="323"/>
      <c r="I831" s="323"/>
      <c r="J831" s="323"/>
      <c r="K831" s="323"/>
      <c r="L831" s="323"/>
      <c r="M831" s="323"/>
      <c r="N831" s="323"/>
      <c r="O831" s="323"/>
      <c r="P831" s="323"/>
      <c r="Q831" s="323"/>
    </row>
    <row r="832" spans="6:17">
      <c r="F832" s="331"/>
      <c r="G832" s="323"/>
      <c r="H832" s="323"/>
      <c r="I832" s="323"/>
      <c r="J832" s="323"/>
      <c r="K832" s="323"/>
      <c r="L832" s="323"/>
      <c r="M832" s="323"/>
      <c r="N832" s="323"/>
      <c r="O832" s="323"/>
      <c r="P832" s="323"/>
      <c r="Q832" s="323"/>
    </row>
    <row r="833" spans="6:17">
      <c r="F833" s="331"/>
      <c r="G833" s="323"/>
      <c r="H833" s="323"/>
      <c r="I833" s="323"/>
      <c r="J833" s="323"/>
      <c r="K833" s="323"/>
      <c r="L833" s="323"/>
      <c r="M833" s="323"/>
      <c r="N833" s="323"/>
      <c r="O833" s="323"/>
      <c r="P833" s="323"/>
      <c r="Q833" s="323"/>
    </row>
    <row r="834" spans="6:17">
      <c r="F834" s="331"/>
      <c r="G834" s="323"/>
      <c r="H834" s="323"/>
      <c r="I834" s="323"/>
      <c r="J834" s="323"/>
      <c r="K834" s="323"/>
      <c r="L834" s="323"/>
      <c r="M834" s="323"/>
      <c r="N834" s="323"/>
      <c r="O834" s="323"/>
      <c r="P834" s="323"/>
      <c r="Q834" s="323"/>
    </row>
    <row r="835" spans="6:17">
      <c r="F835" s="331"/>
      <c r="G835" s="323"/>
      <c r="H835" s="323"/>
      <c r="I835" s="323"/>
      <c r="J835" s="323"/>
      <c r="K835" s="323"/>
      <c r="L835" s="323"/>
      <c r="M835" s="323"/>
      <c r="N835" s="323"/>
      <c r="O835" s="323"/>
      <c r="P835" s="323"/>
      <c r="Q835" s="323"/>
    </row>
    <row r="836" spans="6:17">
      <c r="F836" s="331"/>
      <c r="G836" s="323"/>
      <c r="H836" s="323"/>
      <c r="I836" s="323"/>
      <c r="J836" s="323"/>
      <c r="K836" s="323"/>
      <c r="L836" s="323"/>
      <c r="M836" s="323"/>
      <c r="N836" s="323"/>
      <c r="O836" s="323"/>
      <c r="P836" s="323"/>
      <c r="Q836" s="323"/>
    </row>
    <row r="837" spans="6:17">
      <c r="F837" s="331"/>
      <c r="G837" s="323"/>
      <c r="H837" s="323"/>
      <c r="I837" s="323"/>
      <c r="J837" s="323"/>
      <c r="K837" s="323"/>
      <c r="L837" s="323"/>
      <c r="M837" s="323"/>
      <c r="N837" s="323"/>
      <c r="O837" s="323"/>
      <c r="P837" s="323"/>
      <c r="Q837" s="323"/>
    </row>
    <row r="838" spans="6:17">
      <c r="F838" s="331"/>
      <c r="G838" s="323"/>
      <c r="H838" s="323"/>
      <c r="I838" s="323"/>
      <c r="J838" s="323"/>
      <c r="K838" s="323"/>
      <c r="L838" s="323"/>
      <c r="M838" s="323"/>
      <c r="N838" s="323"/>
      <c r="O838" s="323"/>
      <c r="P838" s="323"/>
      <c r="Q838" s="323"/>
    </row>
    <row r="839" spans="6:17">
      <c r="F839" s="331"/>
      <c r="G839" s="323"/>
      <c r="H839" s="323"/>
      <c r="I839" s="323"/>
      <c r="J839" s="323"/>
      <c r="K839" s="323"/>
      <c r="L839" s="323"/>
      <c r="M839" s="323"/>
      <c r="N839" s="323"/>
      <c r="O839" s="323"/>
      <c r="P839" s="323"/>
      <c r="Q839" s="323"/>
    </row>
    <row r="840" spans="6:17">
      <c r="F840" s="331"/>
      <c r="G840" s="323"/>
      <c r="H840" s="323"/>
      <c r="I840" s="323"/>
      <c r="J840" s="323"/>
      <c r="K840" s="323"/>
      <c r="L840" s="323"/>
      <c r="M840" s="323"/>
      <c r="N840" s="323"/>
      <c r="O840" s="323"/>
      <c r="P840" s="323"/>
      <c r="Q840" s="323"/>
    </row>
    <row r="841" spans="6:17">
      <c r="F841" s="331"/>
      <c r="G841" s="323"/>
      <c r="H841" s="323"/>
      <c r="I841" s="323"/>
      <c r="J841" s="323"/>
      <c r="K841" s="323"/>
      <c r="L841" s="323"/>
      <c r="M841" s="323"/>
      <c r="N841" s="323"/>
      <c r="O841" s="323"/>
      <c r="P841" s="323"/>
      <c r="Q841" s="323"/>
    </row>
    <row r="842" spans="6:17">
      <c r="F842" s="331"/>
      <c r="G842" s="323"/>
      <c r="H842" s="323"/>
      <c r="I842" s="323"/>
      <c r="J842" s="323"/>
      <c r="K842" s="323"/>
      <c r="L842" s="323"/>
      <c r="M842" s="323"/>
      <c r="N842" s="323"/>
      <c r="O842" s="323"/>
      <c r="P842" s="323"/>
      <c r="Q842" s="323"/>
    </row>
    <row r="843" spans="6:17">
      <c r="F843" s="331"/>
      <c r="G843" s="323"/>
      <c r="H843" s="323"/>
      <c r="I843" s="323"/>
      <c r="J843" s="323"/>
      <c r="K843" s="323"/>
      <c r="L843" s="323"/>
      <c r="M843" s="323"/>
      <c r="N843" s="323"/>
      <c r="O843" s="323"/>
      <c r="P843" s="323"/>
      <c r="Q843" s="323"/>
    </row>
    <row r="844" spans="6:17">
      <c r="F844" s="331"/>
      <c r="G844" s="323"/>
      <c r="H844" s="323"/>
      <c r="I844" s="323"/>
      <c r="J844" s="323"/>
      <c r="K844" s="323"/>
      <c r="L844" s="323"/>
      <c r="M844" s="323"/>
      <c r="N844" s="323"/>
      <c r="O844" s="323"/>
      <c r="P844" s="323"/>
      <c r="Q844" s="323"/>
    </row>
    <row r="845" spans="6:17">
      <c r="F845" s="331"/>
      <c r="G845" s="323"/>
      <c r="H845" s="323"/>
      <c r="I845" s="323"/>
      <c r="J845" s="323"/>
      <c r="K845" s="323"/>
      <c r="L845" s="323"/>
      <c r="M845" s="323"/>
      <c r="N845" s="323"/>
      <c r="O845" s="323"/>
      <c r="P845" s="323"/>
      <c r="Q845" s="323"/>
    </row>
    <row r="846" spans="6:17">
      <c r="F846" s="331"/>
      <c r="G846" s="323"/>
      <c r="H846" s="323"/>
      <c r="I846" s="323"/>
      <c r="J846" s="323"/>
      <c r="K846" s="323"/>
      <c r="L846" s="323"/>
      <c r="M846" s="323"/>
      <c r="N846" s="323"/>
      <c r="O846" s="323"/>
      <c r="P846" s="323"/>
      <c r="Q846" s="323"/>
    </row>
    <row r="847" spans="6:17">
      <c r="F847" s="331"/>
      <c r="G847" s="323"/>
      <c r="H847" s="323"/>
      <c r="I847" s="323"/>
      <c r="J847" s="323"/>
      <c r="K847" s="323"/>
      <c r="L847" s="323"/>
      <c r="M847" s="323"/>
      <c r="N847" s="323"/>
      <c r="O847" s="323"/>
      <c r="P847" s="323"/>
      <c r="Q847" s="323"/>
    </row>
    <row r="848" spans="6:17">
      <c r="F848" s="331"/>
      <c r="G848" s="323"/>
      <c r="H848" s="323"/>
      <c r="I848" s="323"/>
      <c r="J848" s="323"/>
      <c r="K848" s="323"/>
      <c r="L848" s="323"/>
      <c r="M848" s="323"/>
      <c r="N848" s="323"/>
      <c r="O848" s="323"/>
      <c r="P848" s="323"/>
      <c r="Q848" s="323"/>
    </row>
    <row r="849" spans="6:17">
      <c r="F849" s="331"/>
      <c r="G849" s="323"/>
      <c r="H849" s="323"/>
      <c r="I849" s="323"/>
      <c r="J849" s="323"/>
      <c r="K849" s="323"/>
      <c r="L849" s="323"/>
      <c r="M849" s="323"/>
      <c r="N849" s="323"/>
      <c r="O849" s="323"/>
      <c r="P849" s="323"/>
      <c r="Q849" s="323"/>
    </row>
    <row r="850" spans="6:17">
      <c r="F850" s="331"/>
      <c r="G850" s="323"/>
      <c r="H850" s="323"/>
      <c r="I850" s="323"/>
      <c r="J850" s="323"/>
      <c r="K850" s="323"/>
      <c r="L850" s="323"/>
      <c r="M850" s="323"/>
      <c r="N850" s="323"/>
      <c r="O850" s="323"/>
      <c r="P850" s="323"/>
      <c r="Q850" s="323"/>
    </row>
    <row r="851" spans="6:17">
      <c r="F851" s="331"/>
      <c r="G851" s="323"/>
      <c r="H851" s="323"/>
      <c r="I851" s="323"/>
      <c r="J851" s="323"/>
      <c r="K851" s="323"/>
      <c r="L851" s="323"/>
      <c r="M851" s="323"/>
      <c r="N851" s="323"/>
      <c r="O851" s="323"/>
      <c r="P851" s="323"/>
      <c r="Q851" s="323"/>
    </row>
    <row r="852" spans="6:17">
      <c r="F852" s="331"/>
      <c r="G852" s="323"/>
      <c r="H852" s="323"/>
      <c r="I852" s="323"/>
      <c r="J852" s="323"/>
      <c r="K852" s="323"/>
      <c r="L852" s="323"/>
      <c r="M852" s="323"/>
      <c r="N852" s="323"/>
      <c r="O852" s="323"/>
      <c r="P852" s="323"/>
      <c r="Q852" s="323"/>
    </row>
    <row r="853" spans="6:17">
      <c r="F853" s="331"/>
      <c r="G853" s="323"/>
      <c r="H853" s="323"/>
      <c r="I853" s="323"/>
      <c r="J853" s="323"/>
      <c r="K853" s="323"/>
      <c r="L853" s="323"/>
      <c r="M853" s="323"/>
      <c r="N853" s="323"/>
      <c r="O853" s="323"/>
      <c r="P853" s="323"/>
      <c r="Q853" s="323"/>
    </row>
    <row r="854" spans="6:17">
      <c r="F854" s="331"/>
      <c r="G854" s="323"/>
      <c r="H854" s="323"/>
      <c r="I854" s="323"/>
      <c r="J854" s="323"/>
      <c r="K854" s="323"/>
      <c r="L854" s="323"/>
      <c r="M854" s="323"/>
      <c r="N854" s="323"/>
      <c r="O854" s="323"/>
      <c r="P854" s="323"/>
      <c r="Q854" s="323"/>
    </row>
    <row r="855" spans="6:17">
      <c r="F855" s="331"/>
      <c r="G855" s="323"/>
      <c r="H855" s="323"/>
      <c r="I855" s="323"/>
      <c r="J855" s="323"/>
      <c r="K855" s="323"/>
      <c r="L855" s="323"/>
      <c r="M855" s="323"/>
      <c r="N855" s="323"/>
      <c r="O855" s="323"/>
      <c r="P855" s="323"/>
      <c r="Q855" s="323"/>
    </row>
    <row r="856" spans="6:17">
      <c r="F856" s="331"/>
      <c r="G856" s="323"/>
      <c r="H856" s="323"/>
      <c r="I856" s="323"/>
      <c r="J856" s="323"/>
      <c r="K856" s="323"/>
      <c r="L856" s="323"/>
      <c r="M856" s="323"/>
      <c r="N856" s="323"/>
      <c r="O856" s="323"/>
      <c r="P856" s="323"/>
      <c r="Q856" s="323"/>
    </row>
    <row r="857" spans="6:17">
      <c r="F857" s="331"/>
      <c r="G857" s="323"/>
      <c r="H857" s="323"/>
      <c r="I857" s="323"/>
      <c r="J857" s="323"/>
      <c r="K857" s="323"/>
      <c r="L857" s="323"/>
      <c r="M857" s="323"/>
      <c r="N857" s="323"/>
      <c r="O857" s="323"/>
      <c r="P857" s="323"/>
      <c r="Q857" s="323"/>
    </row>
    <row r="858" spans="6:17">
      <c r="F858" s="331"/>
      <c r="G858" s="323"/>
      <c r="H858" s="323"/>
      <c r="I858" s="323"/>
      <c r="J858" s="323"/>
      <c r="K858" s="323"/>
      <c r="L858" s="323"/>
      <c r="M858" s="323"/>
      <c r="N858" s="323"/>
      <c r="O858" s="323"/>
      <c r="P858" s="323"/>
      <c r="Q858" s="323"/>
    </row>
    <row r="859" spans="6:17">
      <c r="F859" s="331"/>
      <c r="G859" s="323"/>
      <c r="H859" s="323"/>
      <c r="I859" s="323"/>
      <c r="J859" s="323"/>
      <c r="K859" s="323"/>
      <c r="L859" s="323"/>
      <c r="M859" s="323"/>
      <c r="N859" s="323"/>
      <c r="O859" s="323"/>
      <c r="P859" s="323"/>
      <c r="Q859" s="323"/>
    </row>
    <row r="860" spans="6:17">
      <c r="F860" s="331"/>
      <c r="G860" s="323"/>
      <c r="H860" s="323"/>
      <c r="I860" s="323"/>
      <c r="J860" s="323"/>
      <c r="K860" s="323"/>
      <c r="L860" s="323"/>
      <c r="M860" s="323"/>
      <c r="N860" s="323"/>
      <c r="O860" s="323"/>
      <c r="P860" s="323"/>
      <c r="Q860" s="323"/>
    </row>
    <row r="861" spans="6:17">
      <c r="F861" s="331"/>
      <c r="G861" s="323"/>
      <c r="H861" s="323"/>
      <c r="I861" s="323"/>
      <c r="J861" s="323"/>
      <c r="K861" s="323"/>
      <c r="L861" s="323"/>
      <c r="M861" s="323"/>
      <c r="N861" s="323"/>
      <c r="O861" s="323"/>
      <c r="P861" s="323"/>
      <c r="Q861" s="323"/>
    </row>
    <row r="862" spans="6:17">
      <c r="F862" s="331"/>
      <c r="G862" s="323"/>
      <c r="H862" s="323"/>
      <c r="I862" s="323"/>
      <c r="J862" s="323"/>
      <c r="K862" s="323"/>
      <c r="L862" s="323"/>
      <c r="M862" s="323"/>
      <c r="N862" s="323"/>
      <c r="O862" s="323"/>
      <c r="P862" s="323"/>
      <c r="Q862" s="323"/>
    </row>
    <row r="863" spans="6:17">
      <c r="F863" s="331"/>
      <c r="G863" s="323"/>
      <c r="H863" s="323"/>
      <c r="I863" s="323"/>
      <c r="J863" s="323"/>
      <c r="K863" s="323"/>
      <c r="L863" s="323"/>
      <c r="M863" s="323"/>
      <c r="N863" s="323"/>
      <c r="O863" s="323"/>
      <c r="P863" s="323"/>
      <c r="Q863" s="323"/>
    </row>
    <row r="864" spans="6:17">
      <c r="F864" s="331"/>
      <c r="G864" s="323"/>
      <c r="H864" s="323"/>
      <c r="I864" s="323"/>
      <c r="J864" s="323"/>
      <c r="K864" s="323"/>
      <c r="L864" s="323"/>
      <c r="M864" s="323"/>
      <c r="N864" s="323"/>
      <c r="O864" s="323"/>
      <c r="P864" s="323"/>
      <c r="Q864" s="323"/>
    </row>
    <row r="865" spans="6:17">
      <c r="F865" s="331"/>
      <c r="G865" s="323"/>
      <c r="H865" s="323"/>
      <c r="I865" s="323"/>
      <c r="J865" s="323"/>
      <c r="K865" s="323"/>
      <c r="L865" s="323"/>
      <c r="M865" s="323"/>
      <c r="N865" s="323"/>
      <c r="O865" s="323"/>
      <c r="P865" s="323"/>
      <c r="Q865" s="323"/>
    </row>
    <row r="866" spans="6:17">
      <c r="F866" s="331"/>
      <c r="G866" s="323"/>
      <c r="H866" s="323"/>
      <c r="I866" s="323"/>
      <c r="J866" s="323"/>
      <c r="K866" s="323"/>
      <c r="L866" s="323"/>
      <c r="M866" s="323"/>
      <c r="N866" s="323"/>
      <c r="O866" s="323"/>
      <c r="P866" s="323"/>
      <c r="Q866" s="323"/>
    </row>
    <row r="867" spans="6:17">
      <c r="F867" s="331"/>
      <c r="G867" s="323"/>
      <c r="H867" s="323"/>
      <c r="I867" s="323"/>
      <c r="J867" s="323"/>
      <c r="K867" s="323"/>
      <c r="L867" s="323"/>
      <c r="M867" s="323"/>
      <c r="N867" s="323"/>
      <c r="O867" s="323"/>
      <c r="P867" s="323"/>
      <c r="Q867" s="323"/>
    </row>
    <row r="868" spans="6:17">
      <c r="F868" s="331"/>
      <c r="G868" s="323"/>
      <c r="H868" s="323"/>
      <c r="I868" s="323"/>
      <c r="J868" s="323"/>
      <c r="K868" s="323"/>
      <c r="L868" s="323"/>
      <c r="M868" s="323"/>
      <c r="N868" s="323"/>
      <c r="O868" s="323"/>
      <c r="P868" s="323"/>
      <c r="Q868" s="323"/>
    </row>
    <row r="869" spans="6:17">
      <c r="F869" s="331"/>
      <c r="G869" s="323"/>
      <c r="H869" s="323"/>
      <c r="I869" s="323"/>
      <c r="J869" s="323"/>
      <c r="K869" s="323"/>
      <c r="L869" s="323"/>
      <c r="M869" s="323"/>
      <c r="N869" s="323"/>
      <c r="O869" s="323"/>
      <c r="P869" s="323"/>
      <c r="Q869" s="323"/>
    </row>
    <row r="870" spans="6:17">
      <c r="F870" s="331"/>
      <c r="G870" s="323"/>
      <c r="H870" s="323"/>
      <c r="I870" s="323"/>
      <c r="J870" s="323"/>
      <c r="K870" s="323"/>
      <c r="L870" s="323"/>
      <c r="M870" s="323"/>
      <c r="N870" s="323"/>
      <c r="O870" s="323"/>
      <c r="P870" s="323"/>
      <c r="Q870" s="323"/>
    </row>
    <row r="871" spans="6:17">
      <c r="F871" s="331"/>
      <c r="G871" s="323"/>
      <c r="H871" s="323"/>
      <c r="I871" s="323"/>
      <c r="J871" s="323"/>
      <c r="K871" s="323"/>
      <c r="L871" s="323"/>
      <c r="M871" s="323"/>
      <c r="N871" s="323"/>
      <c r="O871" s="323"/>
      <c r="P871" s="323"/>
      <c r="Q871" s="323"/>
    </row>
    <row r="872" spans="6:17">
      <c r="F872" s="331"/>
      <c r="G872" s="323"/>
      <c r="H872" s="323"/>
      <c r="I872" s="323"/>
      <c r="J872" s="323"/>
      <c r="K872" s="323"/>
      <c r="L872" s="323"/>
      <c r="M872" s="323"/>
      <c r="N872" s="323"/>
      <c r="O872" s="323"/>
      <c r="P872" s="323"/>
      <c r="Q872" s="323"/>
    </row>
    <row r="873" spans="6:17">
      <c r="F873" s="331"/>
      <c r="G873" s="323"/>
      <c r="H873" s="323"/>
      <c r="I873" s="323"/>
      <c r="J873" s="323"/>
      <c r="K873" s="323"/>
      <c r="L873" s="323"/>
      <c r="M873" s="323"/>
      <c r="N873" s="323"/>
      <c r="O873" s="323"/>
      <c r="P873" s="323"/>
      <c r="Q873" s="323"/>
    </row>
    <row r="874" spans="6:17">
      <c r="F874" s="331"/>
      <c r="G874" s="323"/>
      <c r="H874" s="323"/>
      <c r="I874" s="323"/>
      <c r="J874" s="323"/>
      <c r="K874" s="323"/>
      <c r="L874" s="323"/>
      <c r="M874" s="323"/>
      <c r="N874" s="323"/>
      <c r="O874" s="323"/>
      <c r="P874" s="323"/>
      <c r="Q874" s="323"/>
    </row>
    <row r="875" spans="6:17">
      <c r="F875" s="331"/>
      <c r="G875" s="323"/>
      <c r="H875" s="323"/>
      <c r="I875" s="323"/>
      <c r="J875" s="323"/>
      <c r="K875" s="323"/>
      <c r="L875" s="323"/>
      <c r="M875" s="323"/>
      <c r="N875" s="323"/>
      <c r="O875" s="323"/>
      <c r="P875" s="323"/>
      <c r="Q875" s="323"/>
    </row>
    <row r="876" spans="6:17">
      <c r="F876" s="331"/>
      <c r="G876" s="323"/>
      <c r="H876" s="323"/>
      <c r="I876" s="323"/>
      <c r="J876" s="323"/>
      <c r="K876" s="323"/>
      <c r="L876" s="323"/>
      <c r="M876" s="323"/>
      <c r="N876" s="323"/>
      <c r="O876" s="323"/>
      <c r="P876" s="323"/>
      <c r="Q876" s="323"/>
    </row>
    <row r="877" spans="6:17">
      <c r="F877" s="331"/>
      <c r="G877" s="323"/>
      <c r="H877" s="323"/>
      <c r="I877" s="323"/>
      <c r="J877" s="323"/>
      <c r="K877" s="323"/>
      <c r="L877" s="323"/>
      <c r="M877" s="323"/>
      <c r="N877" s="323"/>
      <c r="O877" s="323"/>
      <c r="P877" s="323"/>
      <c r="Q877" s="323"/>
    </row>
    <row r="878" spans="6:17">
      <c r="F878" s="331"/>
      <c r="G878" s="323"/>
      <c r="H878" s="323"/>
      <c r="I878" s="323"/>
      <c r="J878" s="323"/>
      <c r="K878" s="323"/>
      <c r="L878" s="323"/>
      <c r="M878" s="323"/>
      <c r="N878" s="323"/>
      <c r="O878" s="323"/>
      <c r="P878" s="323"/>
      <c r="Q878" s="323"/>
    </row>
    <row r="879" spans="6:17">
      <c r="F879" s="331"/>
      <c r="G879" s="323"/>
      <c r="H879" s="323"/>
      <c r="I879" s="323"/>
      <c r="J879" s="323"/>
      <c r="K879" s="323"/>
      <c r="L879" s="323"/>
      <c r="M879" s="323"/>
      <c r="N879" s="323"/>
      <c r="O879" s="323"/>
      <c r="P879" s="323"/>
      <c r="Q879" s="323"/>
    </row>
    <row r="880" spans="6:17">
      <c r="F880" s="331"/>
      <c r="G880" s="323"/>
      <c r="H880" s="323"/>
      <c r="I880" s="323"/>
      <c r="J880" s="323"/>
      <c r="K880" s="323"/>
      <c r="L880" s="323"/>
      <c r="M880" s="323"/>
      <c r="N880" s="323"/>
      <c r="O880" s="323"/>
      <c r="P880" s="323"/>
      <c r="Q880" s="323"/>
    </row>
    <row r="881" spans="6:17">
      <c r="F881" s="331"/>
      <c r="G881" s="323"/>
      <c r="H881" s="323"/>
      <c r="I881" s="323"/>
      <c r="J881" s="323"/>
      <c r="K881" s="323"/>
      <c r="L881" s="323"/>
      <c r="M881" s="323"/>
      <c r="N881" s="323"/>
      <c r="O881" s="323"/>
      <c r="P881" s="323"/>
      <c r="Q881" s="323"/>
    </row>
    <row r="882" spans="6:17">
      <c r="F882" s="331"/>
      <c r="G882" s="323"/>
      <c r="H882" s="323"/>
      <c r="I882" s="323"/>
      <c r="J882" s="323"/>
      <c r="K882" s="323"/>
      <c r="L882" s="323"/>
      <c r="M882" s="323"/>
      <c r="N882" s="323"/>
      <c r="O882" s="323"/>
      <c r="P882" s="323"/>
      <c r="Q882" s="323"/>
    </row>
    <row r="883" spans="6:17">
      <c r="F883" s="331"/>
      <c r="G883" s="323"/>
      <c r="H883" s="323"/>
      <c r="I883" s="323"/>
      <c r="J883" s="323"/>
      <c r="K883" s="323"/>
      <c r="L883" s="323"/>
      <c r="M883" s="323"/>
      <c r="N883" s="323"/>
      <c r="O883" s="323"/>
      <c r="P883" s="323"/>
      <c r="Q883" s="323"/>
    </row>
    <row r="884" spans="6:17">
      <c r="F884" s="331"/>
      <c r="G884" s="323"/>
      <c r="H884" s="323"/>
      <c r="I884" s="323"/>
      <c r="J884" s="323"/>
      <c r="K884" s="323"/>
      <c r="L884" s="323"/>
      <c r="M884" s="323"/>
      <c r="N884" s="323"/>
      <c r="O884" s="323"/>
      <c r="P884" s="323"/>
      <c r="Q884" s="323"/>
    </row>
    <row r="885" spans="6:17">
      <c r="F885" s="331"/>
      <c r="G885" s="323"/>
      <c r="H885" s="323"/>
      <c r="I885" s="323"/>
      <c r="J885" s="323"/>
      <c r="K885" s="323"/>
      <c r="L885" s="323"/>
      <c r="M885" s="323"/>
      <c r="N885" s="323"/>
      <c r="O885" s="323"/>
      <c r="P885" s="323"/>
      <c r="Q885" s="323"/>
    </row>
    <row r="886" spans="6:17">
      <c r="F886" s="331"/>
      <c r="G886" s="323"/>
      <c r="H886" s="323"/>
      <c r="I886" s="323"/>
      <c r="J886" s="323"/>
      <c r="K886" s="323"/>
      <c r="L886" s="323"/>
      <c r="M886" s="323"/>
      <c r="N886" s="323"/>
      <c r="O886" s="323"/>
      <c r="P886" s="323"/>
      <c r="Q886" s="323"/>
    </row>
    <row r="887" spans="6:17">
      <c r="F887" s="331"/>
      <c r="G887" s="323"/>
      <c r="H887" s="323"/>
      <c r="I887" s="323"/>
      <c r="J887" s="323"/>
      <c r="K887" s="323"/>
      <c r="L887" s="323"/>
      <c r="M887" s="323"/>
      <c r="N887" s="323"/>
      <c r="O887" s="323"/>
      <c r="P887" s="323"/>
      <c r="Q887" s="323"/>
    </row>
    <row r="888" spans="6:17">
      <c r="F888" s="331"/>
      <c r="G888" s="323"/>
      <c r="H888" s="323"/>
      <c r="I888" s="323"/>
      <c r="J888" s="323"/>
      <c r="K888" s="323"/>
      <c r="L888" s="323"/>
      <c r="M888" s="323"/>
      <c r="N888" s="323"/>
      <c r="O888" s="323"/>
      <c r="P888" s="323"/>
      <c r="Q888" s="323"/>
    </row>
    <row r="889" spans="6:17">
      <c r="F889" s="331"/>
      <c r="G889" s="323"/>
      <c r="H889" s="323"/>
      <c r="I889" s="323"/>
      <c r="J889" s="323"/>
      <c r="K889" s="323"/>
      <c r="L889" s="323"/>
      <c r="M889" s="323"/>
      <c r="N889" s="323"/>
      <c r="O889" s="323"/>
      <c r="P889" s="323"/>
      <c r="Q889" s="323"/>
    </row>
    <row r="890" spans="6:17">
      <c r="F890" s="331"/>
      <c r="G890" s="323"/>
      <c r="H890" s="323"/>
      <c r="I890" s="323"/>
      <c r="J890" s="323"/>
      <c r="K890" s="323"/>
      <c r="L890" s="323"/>
      <c r="M890" s="323"/>
      <c r="N890" s="323"/>
      <c r="O890" s="323"/>
      <c r="P890" s="323"/>
      <c r="Q890" s="323"/>
    </row>
    <row r="891" spans="6:17">
      <c r="F891" s="331"/>
      <c r="G891" s="323"/>
      <c r="H891" s="323"/>
      <c r="I891" s="323"/>
      <c r="J891" s="323"/>
      <c r="K891" s="323"/>
      <c r="L891" s="323"/>
      <c r="M891" s="323"/>
      <c r="N891" s="323"/>
      <c r="O891" s="323"/>
      <c r="P891" s="323"/>
      <c r="Q891" s="323"/>
    </row>
    <row r="892" spans="6:17">
      <c r="F892" s="331"/>
      <c r="G892" s="323"/>
      <c r="H892" s="323"/>
      <c r="I892" s="323"/>
      <c r="J892" s="323"/>
      <c r="K892" s="323"/>
      <c r="L892" s="323"/>
      <c r="M892" s="323"/>
      <c r="N892" s="323"/>
      <c r="O892" s="323"/>
      <c r="P892" s="323"/>
      <c r="Q892" s="323"/>
    </row>
    <row r="893" spans="6:17">
      <c r="F893" s="331"/>
      <c r="G893" s="323"/>
      <c r="H893" s="323"/>
      <c r="I893" s="323"/>
      <c r="J893" s="323"/>
      <c r="K893" s="323"/>
      <c r="L893" s="323"/>
      <c r="M893" s="323"/>
      <c r="N893" s="323"/>
      <c r="O893" s="323"/>
      <c r="P893" s="323"/>
      <c r="Q893" s="323"/>
    </row>
    <row r="894" spans="6:17">
      <c r="F894" s="331"/>
      <c r="G894" s="323"/>
      <c r="H894" s="323"/>
      <c r="I894" s="323"/>
      <c r="J894" s="323"/>
      <c r="K894" s="323"/>
      <c r="L894" s="323"/>
      <c r="M894" s="323"/>
      <c r="N894" s="323"/>
      <c r="O894" s="323"/>
      <c r="P894" s="323"/>
      <c r="Q894" s="323"/>
    </row>
    <row r="895" spans="6:17">
      <c r="F895" s="331"/>
      <c r="G895" s="323"/>
      <c r="H895" s="323"/>
      <c r="I895" s="323"/>
      <c r="J895" s="323"/>
      <c r="K895" s="323"/>
      <c r="L895" s="323"/>
      <c r="M895" s="323"/>
      <c r="N895" s="323"/>
      <c r="O895" s="323"/>
      <c r="P895" s="323"/>
      <c r="Q895" s="323"/>
    </row>
    <row r="896" spans="6:17">
      <c r="F896" s="331"/>
      <c r="G896" s="323"/>
      <c r="H896" s="323"/>
      <c r="I896" s="323"/>
      <c r="J896" s="323"/>
      <c r="K896" s="323"/>
      <c r="L896" s="323"/>
      <c r="M896" s="323"/>
      <c r="N896" s="323"/>
      <c r="O896" s="323"/>
      <c r="P896" s="323"/>
      <c r="Q896" s="323"/>
    </row>
    <row r="897" spans="6:17">
      <c r="F897" s="331"/>
      <c r="G897" s="323"/>
      <c r="H897" s="323"/>
      <c r="I897" s="323"/>
      <c r="J897" s="323"/>
      <c r="K897" s="323"/>
      <c r="L897" s="323"/>
      <c r="M897" s="323"/>
      <c r="N897" s="323"/>
      <c r="O897" s="323"/>
      <c r="P897" s="323"/>
      <c r="Q897" s="323"/>
    </row>
    <row r="898" spans="6:17">
      <c r="F898" s="331"/>
      <c r="G898" s="323"/>
      <c r="H898" s="323"/>
      <c r="I898" s="323"/>
      <c r="J898" s="323"/>
      <c r="K898" s="323"/>
      <c r="L898" s="323"/>
      <c r="M898" s="323"/>
      <c r="N898" s="323"/>
      <c r="O898" s="323"/>
      <c r="P898" s="323"/>
      <c r="Q898" s="323"/>
    </row>
    <row r="899" spans="6:17">
      <c r="F899" s="331"/>
      <c r="G899" s="323"/>
      <c r="H899" s="323"/>
      <c r="I899" s="323"/>
      <c r="J899" s="323"/>
      <c r="K899" s="323"/>
      <c r="L899" s="323"/>
      <c r="M899" s="323"/>
      <c r="N899" s="323"/>
      <c r="O899" s="323"/>
      <c r="P899" s="323"/>
      <c r="Q899" s="323"/>
    </row>
    <row r="900" spans="6:17">
      <c r="F900" s="331"/>
      <c r="G900" s="323"/>
      <c r="H900" s="323"/>
      <c r="I900" s="323"/>
      <c r="J900" s="323"/>
      <c r="K900" s="323"/>
      <c r="L900" s="323"/>
      <c r="M900" s="323"/>
      <c r="N900" s="323"/>
      <c r="O900" s="323"/>
      <c r="P900" s="323"/>
      <c r="Q900" s="323"/>
    </row>
    <row r="901" spans="6:17">
      <c r="F901" s="331"/>
      <c r="G901" s="323"/>
      <c r="H901" s="323"/>
      <c r="I901" s="323"/>
      <c r="J901" s="323"/>
      <c r="K901" s="323"/>
      <c r="L901" s="323"/>
      <c r="M901" s="323"/>
      <c r="N901" s="323"/>
      <c r="O901" s="323"/>
      <c r="P901" s="323"/>
      <c r="Q901" s="323"/>
    </row>
    <row r="902" spans="6:17">
      <c r="F902" s="331"/>
      <c r="G902" s="323"/>
      <c r="H902" s="323"/>
      <c r="I902" s="323"/>
      <c r="J902" s="323"/>
      <c r="K902" s="323"/>
      <c r="L902" s="323"/>
      <c r="M902" s="323"/>
      <c r="N902" s="323"/>
      <c r="O902" s="323"/>
      <c r="P902" s="323"/>
      <c r="Q902" s="323"/>
    </row>
    <row r="903" spans="6:17">
      <c r="F903" s="331"/>
      <c r="G903" s="323"/>
      <c r="H903" s="323"/>
      <c r="I903" s="323"/>
      <c r="J903" s="323"/>
      <c r="K903" s="323"/>
      <c r="L903" s="323"/>
      <c r="M903" s="323"/>
      <c r="N903" s="323"/>
      <c r="O903" s="323"/>
      <c r="P903" s="323"/>
      <c r="Q903" s="323"/>
    </row>
    <row r="904" spans="6:17">
      <c r="F904" s="331"/>
      <c r="G904" s="323"/>
      <c r="H904" s="323"/>
      <c r="I904" s="323"/>
      <c r="J904" s="323"/>
      <c r="K904" s="323"/>
      <c r="L904" s="323"/>
      <c r="M904" s="323"/>
      <c r="N904" s="323"/>
      <c r="O904" s="323"/>
      <c r="P904" s="323"/>
      <c r="Q904" s="323"/>
    </row>
    <row r="905" spans="6:17">
      <c r="F905" s="331"/>
      <c r="G905" s="323"/>
      <c r="H905" s="323"/>
      <c r="I905" s="323"/>
      <c r="J905" s="323"/>
      <c r="K905" s="323"/>
      <c r="L905" s="323"/>
      <c r="M905" s="323"/>
      <c r="N905" s="323"/>
      <c r="O905" s="323"/>
      <c r="P905" s="323"/>
      <c r="Q905" s="323"/>
    </row>
    <row r="906" spans="6:17">
      <c r="F906" s="331"/>
      <c r="G906" s="323"/>
      <c r="H906" s="323"/>
      <c r="I906" s="323"/>
      <c r="J906" s="323"/>
      <c r="K906" s="323"/>
      <c r="L906" s="323"/>
      <c r="M906" s="323"/>
      <c r="N906" s="323"/>
      <c r="O906" s="323"/>
      <c r="P906" s="323"/>
      <c r="Q906" s="323"/>
    </row>
    <row r="907" spans="6:17">
      <c r="F907" s="331"/>
      <c r="G907" s="323"/>
      <c r="H907" s="323"/>
      <c r="I907" s="323"/>
      <c r="J907" s="323"/>
      <c r="K907" s="323"/>
      <c r="L907" s="323"/>
      <c r="M907" s="323"/>
      <c r="N907" s="323"/>
      <c r="O907" s="323"/>
      <c r="P907" s="323"/>
      <c r="Q907" s="323"/>
    </row>
    <row r="908" spans="6:17">
      <c r="F908" s="331"/>
      <c r="G908" s="323"/>
      <c r="H908" s="323"/>
      <c r="I908" s="323"/>
      <c r="J908" s="323"/>
      <c r="K908" s="323"/>
      <c r="L908" s="323"/>
      <c r="M908" s="323"/>
      <c r="N908" s="323"/>
      <c r="O908" s="323"/>
      <c r="P908" s="323"/>
      <c r="Q908" s="323"/>
    </row>
    <row r="909" spans="6:17">
      <c r="F909" s="331"/>
      <c r="G909" s="323"/>
      <c r="H909" s="323"/>
      <c r="I909" s="323"/>
      <c r="J909" s="323"/>
      <c r="K909" s="323"/>
      <c r="L909" s="323"/>
      <c r="M909" s="323"/>
      <c r="N909" s="323"/>
      <c r="O909" s="323"/>
      <c r="P909" s="323"/>
      <c r="Q909" s="323"/>
    </row>
    <row r="910" spans="6:17">
      <c r="F910" s="331"/>
      <c r="G910" s="323"/>
      <c r="H910" s="323"/>
      <c r="I910" s="323"/>
      <c r="J910" s="323"/>
      <c r="K910" s="323"/>
      <c r="L910" s="323"/>
      <c r="M910" s="323"/>
      <c r="N910" s="323"/>
      <c r="O910" s="323"/>
      <c r="P910" s="323"/>
      <c r="Q910" s="323"/>
    </row>
    <row r="911" spans="6:17">
      <c r="F911" s="331"/>
      <c r="G911" s="323"/>
      <c r="H911" s="323"/>
      <c r="I911" s="323"/>
      <c r="J911" s="323"/>
      <c r="K911" s="323"/>
      <c r="L911" s="323"/>
      <c r="M911" s="323"/>
      <c r="N911" s="323"/>
      <c r="O911" s="323"/>
      <c r="P911" s="323"/>
      <c r="Q911" s="323"/>
    </row>
    <row r="912" spans="6:17">
      <c r="F912" s="331"/>
      <c r="G912" s="323"/>
      <c r="H912" s="323"/>
      <c r="I912" s="323"/>
      <c r="J912" s="323"/>
      <c r="K912" s="323"/>
      <c r="L912" s="323"/>
      <c r="M912" s="323"/>
      <c r="N912" s="323"/>
      <c r="O912" s="323"/>
      <c r="P912" s="323"/>
      <c r="Q912" s="323"/>
    </row>
    <row r="913" spans="6:17">
      <c r="F913" s="331"/>
      <c r="G913" s="323"/>
      <c r="H913" s="323"/>
      <c r="I913" s="323"/>
      <c r="J913" s="323"/>
      <c r="K913" s="323"/>
      <c r="L913" s="323"/>
      <c r="M913" s="323"/>
      <c r="N913" s="323"/>
      <c r="O913" s="323"/>
      <c r="P913" s="323"/>
      <c r="Q913" s="323"/>
    </row>
    <row r="914" spans="6:17">
      <c r="F914" s="331"/>
      <c r="G914" s="323"/>
      <c r="H914" s="323"/>
      <c r="I914" s="323"/>
      <c r="J914" s="323"/>
      <c r="K914" s="323"/>
      <c r="L914" s="323"/>
      <c r="M914" s="323"/>
      <c r="N914" s="323"/>
      <c r="O914" s="323"/>
      <c r="P914" s="323"/>
      <c r="Q914" s="323"/>
    </row>
    <row r="915" spans="6:17">
      <c r="F915" s="331"/>
      <c r="G915" s="323"/>
      <c r="H915" s="323"/>
      <c r="I915" s="323"/>
      <c r="J915" s="323"/>
      <c r="K915" s="323"/>
      <c r="L915" s="323"/>
      <c r="M915" s="323"/>
      <c r="N915" s="323"/>
      <c r="O915" s="323"/>
      <c r="P915" s="323"/>
      <c r="Q915" s="323"/>
    </row>
    <row r="916" spans="6:17">
      <c r="F916" s="331"/>
      <c r="G916" s="323"/>
      <c r="H916" s="323"/>
      <c r="I916" s="323"/>
      <c r="J916" s="323"/>
      <c r="K916" s="323"/>
      <c r="L916" s="323"/>
      <c r="M916" s="323"/>
      <c r="N916" s="323"/>
      <c r="O916" s="323"/>
      <c r="P916" s="323"/>
      <c r="Q916" s="323"/>
    </row>
    <row r="917" spans="6:17">
      <c r="F917" s="331"/>
      <c r="G917" s="323"/>
      <c r="H917" s="323"/>
      <c r="I917" s="323"/>
      <c r="J917" s="323"/>
      <c r="K917" s="323"/>
      <c r="L917" s="323"/>
      <c r="M917" s="323"/>
      <c r="N917" s="323"/>
      <c r="O917" s="323"/>
      <c r="P917" s="323"/>
      <c r="Q917" s="323"/>
    </row>
    <row r="918" spans="6:17">
      <c r="F918" s="331"/>
      <c r="G918" s="323"/>
      <c r="H918" s="323"/>
      <c r="I918" s="323"/>
      <c r="J918" s="323"/>
      <c r="K918" s="323"/>
      <c r="L918" s="323"/>
      <c r="M918" s="323"/>
      <c r="N918" s="323"/>
      <c r="O918" s="323"/>
      <c r="P918" s="323"/>
      <c r="Q918" s="323"/>
    </row>
    <row r="919" spans="6:17">
      <c r="F919" s="331"/>
      <c r="G919" s="323"/>
      <c r="H919" s="323"/>
      <c r="I919" s="323"/>
      <c r="J919" s="323"/>
      <c r="K919" s="323"/>
      <c r="L919" s="323"/>
      <c r="M919" s="323"/>
      <c r="N919" s="323"/>
      <c r="O919" s="323"/>
      <c r="P919" s="323"/>
      <c r="Q919" s="323"/>
    </row>
    <row r="920" spans="6:17">
      <c r="F920" s="331"/>
      <c r="G920" s="323"/>
      <c r="H920" s="323"/>
      <c r="I920" s="323"/>
      <c r="J920" s="323"/>
      <c r="K920" s="323"/>
      <c r="L920" s="323"/>
      <c r="M920" s="323"/>
      <c r="N920" s="323"/>
      <c r="O920" s="323"/>
      <c r="P920" s="323"/>
      <c r="Q920" s="323"/>
    </row>
    <row r="921" spans="6:17">
      <c r="F921" s="331"/>
      <c r="G921" s="323"/>
      <c r="H921" s="323"/>
      <c r="I921" s="323"/>
      <c r="J921" s="323"/>
      <c r="K921" s="323"/>
      <c r="L921" s="323"/>
      <c r="M921" s="323"/>
      <c r="N921" s="323"/>
      <c r="O921" s="323"/>
      <c r="P921" s="323"/>
      <c r="Q921" s="323"/>
    </row>
    <row r="922" spans="6:17">
      <c r="F922" s="331"/>
      <c r="G922" s="323"/>
      <c r="H922" s="323"/>
      <c r="I922" s="323"/>
      <c r="J922" s="323"/>
      <c r="K922" s="323"/>
      <c r="L922" s="323"/>
      <c r="M922" s="323"/>
      <c r="N922" s="323"/>
      <c r="O922" s="323"/>
      <c r="P922" s="323"/>
      <c r="Q922" s="323"/>
    </row>
    <row r="923" spans="6:17">
      <c r="F923" s="331"/>
      <c r="G923" s="323"/>
      <c r="H923" s="323"/>
      <c r="I923" s="323"/>
      <c r="J923" s="323"/>
      <c r="K923" s="323"/>
      <c r="L923" s="323"/>
      <c r="M923" s="323"/>
      <c r="N923" s="323"/>
      <c r="O923" s="323"/>
      <c r="P923" s="323"/>
      <c r="Q923" s="323"/>
    </row>
    <row r="924" spans="6:17">
      <c r="F924" s="331"/>
      <c r="G924" s="323"/>
      <c r="H924" s="323"/>
      <c r="I924" s="323"/>
      <c r="J924" s="323"/>
      <c r="K924" s="323"/>
      <c r="L924" s="323"/>
      <c r="M924" s="323"/>
      <c r="N924" s="323"/>
      <c r="O924" s="323"/>
      <c r="P924" s="323"/>
      <c r="Q924" s="323"/>
    </row>
    <row r="925" spans="6:17">
      <c r="F925" s="331"/>
      <c r="G925" s="323"/>
      <c r="H925" s="323"/>
      <c r="I925" s="323"/>
      <c r="J925" s="323"/>
      <c r="K925" s="323"/>
      <c r="L925" s="323"/>
      <c r="M925" s="323"/>
      <c r="N925" s="323"/>
      <c r="O925" s="323"/>
      <c r="P925" s="323"/>
      <c r="Q925" s="323"/>
    </row>
    <row r="926" spans="6:17">
      <c r="F926" s="331"/>
      <c r="G926" s="323"/>
      <c r="H926" s="323"/>
      <c r="I926" s="323"/>
      <c r="J926" s="323"/>
      <c r="K926" s="323"/>
      <c r="L926" s="323"/>
      <c r="M926" s="323"/>
      <c r="N926" s="323"/>
      <c r="O926" s="323"/>
      <c r="P926" s="323"/>
      <c r="Q926" s="323"/>
    </row>
    <row r="927" spans="6:17">
      <c r="F927" s="331"/>
      <c r="G927" s="323"/>
      <c r="H927" s="323"/>
      <c r="I927" s="323"/>
      <c r="J927" s="323"/>
      <c r="K927" s="323"/>
      <c r="L927" s="323"/>
      <c r="M927" s="323"/>
      <c r="N927" s="323"/>
      <c r="O927" s="323"/>
      <c r="P927" s="323"/>
      <c r="Q927" s="323"/>
    </row>
    <row r="928" spans="6:17">
      <c r="F928" s="331"/>
      <c r="G928" s="323"/>
      <c r="H928" s="323"/>
      <c r="I928" s="323"/>
      <c r="J928" s="323"/>
      <c r="K928" s="323"/>
      <c r="L928" s="323"/>
      <c r="M928" s="323"/>
      <c r="N928" s="323"/>
      <c r="O928" s="323"/>
      <c r="P928" s="323"/>
      <c r="Q928" s="323"/>
    </row>
    <row r="929" spans="6:17">
      <c r="F929" s="331"/>
      <c r="G929" s="323"/>
      <c r="H929" s="323"/>
      <c r="I929" s="323"/>
      <c r="J929" s="323"/>
      <c r="K929" s="323"/>
      <c r="L929" s="323"/>
      <c r="M929" s="323"/>
      <c r="N929" s="323"/>
      <c r="O929" s="323"/>
      <c r="P929" s="323"/>
      <c r="Q929" s="323"/>
    </row>
    <row r="930" spans="6:17">
      <c r="F930" s="331"/>
      <c r="G930" s="323"/>
      <c r="H930" s="323"/>
      <c r="I930" s="323"/>
      <c r="J930" s="323"/>
      <c r="K930" s="323"/>
      <c r="L930" s="323"/>
      <c r="M930" s="323"/>
      <c r="N930" s="323"/>
      <c r="O930" s="323"/>
      <c r="P930" s="323"/>
      <c r="Q930" s="323"/>
    </row>
    <row r="931" spans="6:17">
      <c r="F931" s="331"/>
      <c r="G931" s="323"/>
      <c r="H931" s="323"/>
      <c r="I931" s="323"/>
      <c r="J931" s="323"/>
      <c r="K931" s="323"/>
      <c r="L931" s="323"/>
      <c r="M931" s="323"/>
      <c r="N931" s="323"/>
      <c r="O931" s="323"/>
      <c r="P931" s="323"/>
      <c r="Q931" s="323"/>
    </row>
    <row r="932" spans="6:17">
      <c r="F932" s="331"/>
      <c r="G932" s="323"/>
      <c r="H932" s="323"/>
      <c r="I932" s="323"/>
      <c r="J932" s="323"/>
      <c r="K932" s="323"/>
      <c r="L932" s="323"/>
      <c r="M932" s="323"/>
      <c r="N932" s="323"/>
      <c r="O932" s="323"/>
      <c r="P932" s="323"/>
      <c r="Q932" s="323"/>
    </row>
    <row r="933" spans="6:17">
      <c r="F933" s="331"/>
      <c r="G933" s="323"/>
      <c r="H933" s="323"/>
      <c r="I933" s="323"/>
      <c r="J933" s="323"/>
      <c r="K933" s="323"/>
      <c r="L933" s="323"/>
      <c r="M933" s="323"/>
      <c r="N933" s="323"/>
      <c r="O933" s="323"/>
      <c r="P933" s="323"/>
      <c r="Q933" s="323"/>
    </row>
    <row r="934" spans="6:17">
      <c r="F934" s="331"/>
      <c r="G934" s="323"/>
      <c r="H934" s="323"/>
      <c r="I934" s="323"/>
      <c r="J934" s="323"/>
      <c r="K934" s="323"/>
      <c r="L934" s="323"/>
      <c r="M934" s="323"/>
      <c r="N934" s="323"/>
      <c r="O934" s="323"/>
      <c r="P934" s="323"/>
      <c r="Q934" s="323"/>
    </row>
    <row r="935" spans="6:17">
      <c r="F935" s="331"/>
      <c r="G935" s="323"/>
      <c r="H935" s="323"/>
      <c r="I935" s="323"/>
      <c r="J935" s="323"/>
      <c r="K935" s="323"/>
      <c r="L935" s="323"/>
      <c r="M935" s="323"/>
      <c r="N935" s="323"/>
      <c r="O935" s="323"/>
      <c r="P935" s="323"/>
      <c r="Q935" s="323"/>
    </row>
    <row r="936" spans="6:17">
      <c r="F936" s="331"/>
      <c r="G936" s="323"/>
      <c r="H936" s="323"/>
      <c r="I936" s="323"/>
      <c r="J936" s="323"/>
      <c r="K936" s="323"/>
      <c r="L936" s="323"/>
      <c r="M936" s="323"/>
      <c r="N936" s="323"/>
      <c r="O936" s="323"/>
      <c r="P936" s="323"/>
      <c r="Q936" s="323"/>
    </row>
    <row r="937" spans="6:17">
      <c r="F937" s="331"/>
      <c r="G937" s="323"/>
      <c r="H937" s="323"/>
      <c r="I937" s="323"/>
      <c r="J937" s="323"/>
      <c r="K937" s="323"/>
      <c r="L937" s="323"/>
      <c r="M937" s="323"/>
      <c r="N937" s="323"/>
      <c r="O937" s="323"/>
      <c r="P937" s="323"/>
      <c r="Q937" s="323"/>
    </row>
    <row r="938" spans="6:17">
      <c r="F938" s="331"/>
      <c r="G938" s="323"/>
      <c r="H938" s="323"/>
      <c r="I938" s="323"/>
      <c r="J938" s="323"/>
      <c r="K938" s="323"/>
      <c r="L938" s="323"/>
      <c r="M938" s="323"/>
      <c r="N938" s="323"/>
      <c r="O938" s="323"/>
      <c r="P938" s="323"/>
      <c r="Q938" s="323"/>
    </row>
    <row r="939" spans="6:17">
      <c r="F939" s="331"/>
      <c r="G939" s="323"/>
      <c r="H939" s="323"/>
      <c r="I939" s="323"/>
      <c r="J939" s="323"/>
      <c r="K939" s="323"/>
      <c r="L939" s="323"/>
      <c r="M939" s="323"/>
      <c r="N939" s="323"/>
      <c r="O939" s="323"/>
      <c r="P939" s="323"/>
      <c r="Q939" s="323"/>
    </row>
    <row r="940" spans="6:17">
      <c r="F940" s="331"/>
      <c r="G940" s="323"/>
      <c r="H940" s="323"/>
      <c r="I940" s="323"/>
      <c r="J940" s="323"/>
      <c r="K940" s="323"/>
      <c r="L940" s="323"/>
      <c r="M940" s="323"/>
      <c r="N940" s="323"/>
      <c r="O940" s="323"/>
      <c r="P940" s="323"/>
      <c r="Q940" s="323"/>
    </row>
    <row r="941" spans="6:17">
      <c r="F941" s="331"/>
      <c r="G941" s="323"/>
      <c r="H941" s="323"/>
      <c r="I941" s="323"/>
      <c r="J941" s="323"/>
      <c r="K941" s="323"/>
      <c r="L941" s="323"/>
      <c r="M941" s="323"/>
      <c r="N941" s="323"/>
      <c r="O941" s="323"/>
      <c r="P941" s="323"/>
      <c r="Q941" s="323"/>
    </row>
    <row r="942" spans="6:17">
      <c r="F942" s="331"/>
      <c r="G942" s="323"/>
      <c r="H942" s="323"/>
      <c r="I942" s="323"/>
      <c r="J942" s="323"/>
      <c r="K942" s="323"/>
      <c r="L942" s="323"/>
      <c r="M942" s="323"/>
      <c r="N942" s="323"/>
      <c r="O942" s="323"/>
      <c r="P942" s="323"/>
      <c r="Q942" s="323"/>
    </row>
    <row r="943" spans="6:17">
      <c r="F943" s="331"/>
      <c r="G943" s="323"/>
      <c r="H943" s="323"/>
      <c r="I943" s="323"/>
      <c r="J943" s="323"/>
      <c r="K943" s="323"/>
      <c r="L943" s="323"/>
      <c r="M943" s="323"/>
      <c r="N943" s="323"/>
      <c r="O943" s="323"/>
      <c r="P943" s="323"/>
      <c r="Q943" s="323"/>
    </row>
    <row r="944" spans="6:17">
      <c r="F944" s="331"/>
      <c r="G944" s="323"/>
      <c r="H944" s="323"/>
      <c r="I944" s="323"/>
      <c r="J944" s="323"/>
      <c r="K944" s="323"/>
      <c r="L944" s="323"/>
      <c r="M944" s="323"/>
      <c r="N944" s="323"/>
      <c r="O944" s="323"/>
      <c r="P944" s="323"/>
      <c r="Q944" s="323"/>
    </row>
    <row r="945" spans="6:17">
      <c r="F945" s="331"/>
      <c r="G945" s="323"/>
      <c r="H945" s="323"/>
      <c r="I945" s="323"/>
      <c r="J945" s="323"/>
      <c r="K945" s="323"/>
      <c r="L945" s="323"/>
      <c r="M945" s="323"/>
      <c r="N945" s="323"/>
      <c r="O945" s="323"/>
      <c r="P945" s="323"/>
      <c r="Q945" s="323"/>
    </row>
    <row r="946" spans="6:17">
      <c r="F946" s="331"/>
      <c r="G946" s="323"/>
      <c r="H946" s="323"/>
      <c r="I946" s="323"/>
      <c r="J946" s="323"/>
      <c r="K946" s="323"/>
      <c r="L946" s="323"/>
      <c r="M946" s="323"/>
      <c r="N946" s="323"/>
      <c r="O946" s="323"/>
      <c r="P946" s="323"/>
      <c r="Q946" s="323"/>
    </row>
    <row r="947" spans="6:17">
      <c r="F947" s="331"/>
      <c r="G947" s="323"/>
      <c r="H947" s="323"/>
      <c r="I947" s="323"/>
      <c r="J947" s="323"/>
      <c r="K947" s="323"/>
      <c r="L947" s="323"/>
      <c r="M947" s="323"/>
      <c r="N947" s="323"/>
      <c r="O947" s="323"/>
      <c r="P947" s="323"/>
      <c r="Q947" s="323"/>
    </row>
    <row r="948" spans="6:17">
      <c r="F948" s="331"/>
      <c r="G948" s="323"/>
      <c r="H948" s="323"/>
      <c r="I948" s="323"/>
      <c r="J948" s="323"/>
      <c r="K948" s="323"/>
      <c r="L948" s="323"/>
      <c r="M948" s="323"/>
      <c r="N948" s="323"/>
      <c r="O948" s="323"/>
      <c r="P948" s="323"/>
      <c r="Q948" s="323"/>
    </row>
    <row r="949" spans="6:17">
      <c r="F949" s="331"/>
      <c r="G949" s="323"/>
      <c r="H949" s="323"/>
      <c r="I949" s="323"/>
      <c r="J949" s="323"/>
      <c r="K949" s="323"/>
      <c r="L949" s="323"/>
      <c r="M949" s="323"/>
      <c r="N949" s="323"/>
      <c r="O949" s="323"/>
      <c r="P949" s="323"/>
      <c r="Q949" s="323"/>
    </row>
    <row r="950" spans="6:17">
      <c r="F950" s="331"/>
      <c r="G950" s="323"/>
      <c r="H950" s="323"/>
      <c r="I950" s="323"/>
      <c r="J950" s="323"/>
      <c r="K950" s="323"/>
      <c r="L950" s="323"/>
      <c r="M950" s="323"/>
      <c r="N950" s="323"/>
      <c r="O950" s="323"/>
      <c r="P950" s="323"/>
      <c r="Q950" s="323"/>
    </row>
    <row r="951" spans="6:17">
      <c r="F951" s="331"/>
      <c r="G951" s="323"/>
      <c r="H951" s="323"/>
      <c r="I951" s="323"/>
      <c r="J951" s="323"/>
      <c r="K951" s="323"/>
      <c r="L951" s="323"/>
      <c r="M951" s="323"/>
      <c r="N951" s="323"/>
      <c r="O951" s="323"/>
      <c r="P951" s="323"/>
      <c r="Q951" s="323"/>
    </row>
    <row r="952" spans="6:17">
      <c r="F952" s="331"/>
      <c r="G952" s="323"/>
      <c r="H952" s="323"/>
      <c r="I952" s="323"/>
      <c r="J952" s="323"/>
      <c r="K952" s="323"/>
      <c r="L952" s="323"/>
      <c r="M952" s="323"/>
      <c r="N952" s="323"/>
      <c r="O952" s="323"/>
      <c r="P952" s="323"/>
      <c r="Q952" s="323"/>
    </row>
    <row r="953" spans="6:17">
      <c r="F953" s="331"/>
      <c r="G953" s="323"/>
      <c r="H953" s="323"/>
      <c r="I953" s="323"/>
      <c r="J953" s="323"/>
      <c r="K953" s="323"/>
      <c r="L953" s="323"/>
      <c r="M953" s="323"/>
      <c r="N953" s="323"/>
      <c r="O953" s="323"/>
      <c r="P953" s="323"/>
      <c r="Q953" s="323"/>
    </row>
    <row r="954" spans="6:17">
      <c r="F954" s="331"/>
      <c r="G954" s="323"/>
      <c r="H954" s="323"/>
      <c r="I954" s="323"/>
      <c r="J954" s="323"/>
      <c r="K954" s="323"/>
      <c r="L954" s="323"/>
      <c r="M954" s="323"/>
      <c r="N954" s="323"/>
      <c r="O954" s="323"/>
      <c r="P954" s="323"/>
      <c r="Q954" s="323"/>
    </row>
    <row r="955" spans="6:17">
      <c r="F955" s="331"/>
      <c r="G955" s="323"/>
      <c r="H955" s="323"/>
      <c r="I955" s="323"/>
      <c r="J955" s="323"/>
      <c r="K955" s="323"/>
      <c r="L955" s="323"/>
      <c r="M955" s="323"/>
      <c r="N955" s="323"/>
      <c r="O955" s="323"/>
      <c r="P955" s="323"/>
      <c r="Q955" s="323"/>
    </row>
    <row r="956" spans="6:17">
      <c r="F956" s="331"/>
      <c r="G956" s="323"/>
      <c r="H956" s="323"/>
      <c r="I956" s="323"/>
      <c r="J956" s="323"/>
      <c r="K956" s="323"/>
      <c r="L956" s="323"/>
      <c r="M956" s="323"/>
      <c r="N956" s="323"/>
      <c r="O956" s="323"/>
      <c r="P956" s="323"/>
      <c r="Q956" s="323"/>
    </row>
    <row r="957" spans="6:17">
      <c r="F957" s="331"/>
      <c r="G957" s="323"/>
      <c r="H957" s="323"/>
      <c r="I957" s="323"/>
      <c r="J957" s="323"/>
      <c r="K957" s="323"/>
      <c r="L957" s="323"/>
      <c r="M957" s="323"/>
      <c r="N957" s="323"/>
      <c r="O957" s="323"/>
      <c r="P957" s="323"/>
      <c r="Q957" s="323"/>
    </row>
    <row r="958" spans="6:17">
      <c r="F958" s="331"/>
      <c r="G958" s="323"/>
      <c r="H958" s="323"/>
      <c r="I958" s="323"/>
      <c r="J958" s="323"/>
      <c r="K958" s="323"/>
      <c r="L958" s="323"/>
      <c r="M958" s="323"/>
      <c r="N958" s="323"/>
      <c r="O958" s="323"/>
      <c r="P958" s="323"/>
      <c r="Q958" s="323"/>
    </row>
    <row r="959" spans="6:17">
      <c r="F959" s="331"/>
      <c r="G959" s="323"/>
      <c r="H959" s="323"/>
      <c r="I959" s="323"/>
      <c r="J959" s="323"/>
      <c r="K959" s="323"/>
      <c r="L959" s="323"/>
      <c r="M959" s="323"/>
      <c r="N959" s="323"/>
      <c r="O959" s="323"/>
      <c r="P959" s="323"/>
      <c r="Q959" s="323"/>
    </row>
    <row r="960" spans="6:17">
      <c r="F960" s="331"/>
      <c r="G960" s="323"/>
      <c r="H960" s="323"/>
      <c r="I960" s="323"/>
      <c r="J960" s="323"/>
      <c r="K960" s="323"/>
      <c r="L960" s="323"/>
      <c r="M960" s="323"/>
      <c r="N960" s="323"/>
      <c r="O960" s="323"/>
      <c r="P960" s="323"/>
      <c r="Q960" s="323"/>
    </row>
    <row r="961" spans="6:17">
      <c r="F961" s="331"/>
      <c r="G961" s="323"/>
      <c r="H961" s="323"/>
      <c r="I961" s="323"/>
      <c r="J961" s="323"/>
      <c r="K961" s="323"/>
      <c r="L961" s="323"/>
      <c r="M961" s="323"/>
      <c r="N961" s="323"/>
      <c r="O961" s="323"/>
      <c r="P961" s="323"/>
      <c r="Q961" s="323"/>
    </row>
    <row r="962" spans="6:17">
      <c r="F962" s="331"/>
      <c r="G962" s="323"/>
      <c r="H962" s="323"/>
      <c r="I962" s="323"/>
      <c r="J962" s="323"/>
      <c r="K962" s="323"/>
      <c r="L962" s="323"/>
      <c r="M962" s="323"/>
      <c r="N962" s="323"/>
      <c r="O962" s="323"/>
      <c r="P962" s="323"/>
      <c r="Q962" s="323"/>
    </row>
    <row r="963" spans="6:17">
      <c r="F963" s="331"/>
      <c r="G963" s="323"/>
      <c r="H963" s="323"/>
      <c r="I963" s="323"/>
      <c r="J963" s="323"/>
      <c r="K963" s="323"/>
      <c r="L963" s="323"/>
      <c r="M963" s="323"/>
      <c r="N963" s="323"/>
      <c r="O963" s="323"/>
      <c r="P963" s="323"/>
      <c r="Q963" s="323"/>
    </row>
    <row r="964" spans="6:17">
      <c r="F964" s="331"/>
      <c r="G964" s="323"/>
      <c r="H964" s="323"/>
      <c r="I964" s="323"/>
      <c r="J964" s="323"/>
      <c r="K964" s="323"/>
      <c r="L964" s="323"/>
      <c r="M964" s="323"/>
      <c r="N964" s="323"/>
      <c r="O964" s="323"/>
      <c r="P964" s="323"/>
      <c r="Q964" s="323"/>
    </row>
    <row r="965" spans="6:17">
      <c r="F965" s="331"/>
      <c r="G965" s="323"/>
      <c r="H965" s="323"/>
      <c r="I965" s="323"/>
      <c r="J965" s="323"/>
      <c r="K965" s="323"/>
      <c r="L965" s="323"/>
      <c r="M965" s="323"/>
      <c r="N965" s="323"/>
      <c r="O965" s="323"/>
      <c r="P965" s="323"/>
      <c r="Q965" s="323"/>
    </row>
    <row r="966" spans="6:17">
      <c r="F966" s="331"/>
      <c r="G966" s="323"/>
      <c r="H966" s="323"/>
      <c r="I966" s="323"/>
      <c r="J966" s="323"/>
      <c r="K966" s="323"/>
      <c r="L966" s="323"/>
      <c r="M966" s="323"/>
      <c r="N966" s="323"/>
      <c r="O966" s="323"/>
      <c r="P966" s="323"/>
      <c r="Q966" s="323"/>
    </row>
    <row r="967" spans="6:17">
      <c r="F967" s="331"/>
      <c r="G967" s="323"/>
      <c r="H967" s="323"/>
      <c r="I967" s="323"/>
      <c r="J967" s="323"/>
      <c r="K967" s="323"/>
      <c r="L967" s="323"/>
      <c r="M967" s="323"/>
      <c r="N967" s="323"/>
      <c r="O967" s="323"/>
      <c r="P967" s="323"/>
      <c r="Q967" s="323"/>
    </row>
    <row r="968" spans="6:17">
      <c r="F968" s="331"/>
      <c r="G968" s="323"/>
      <c r="H968" s="323"/>
      <c r="I968" s="323"/>
      <c r="J968" s="323"/>
      <c r="K968" s="323"/>
      <c r="L968" s="323"/>
      <c r="M968" s="323"/>
      <c r="N968" s="323"/>
      <c r="O968" s="323"/>
      <c r="P968" s="323"/>
      <c r="Q968" s="323"/>
    </row>
    <row r="969" spans="6:17">
      <c r="F969" s="331"/>
      <c r="G969" s="323"/>
      <c r="H969" s="323"/>
      <c r="I969" s="323"/>
      <c r="J969" s="323"/>
      <c r="K969" s="323"/>
      <c r="L969" s="323"/>
      <c r="M969" s="323"/>
      <c r="N969" s="323"/>
      <c r="O969" s="323"/>
      <c r="P969" s="323"/>
      <c r="Q969" s="323"/>
    </row>
    <row r="970" spans="6:17">
      <c r="F970" s="331"/>
      <c r="G970" s="323"/>
      <c r="H970" s="323"/>
      <c r="I970" s="323"/>
      <c r="J970" s="323"/>
      <c r="K970" s="323"/>
      <c r="L970" s="323"/>
      <c r="M970" s="323"/>
      <c r="N970" s="323"/>
      <c r="O970" s="323"/>
      <c r="P970" s="323"/>
      <c r="Q970" s="323"/>
    </row>
    <row r="971" spans="6:17">
      <c r="F971" s="331"/>
      <c r="G971" s="323"/>
      <c r="H971" s="323"/>
      <c r="I971" s="323"/>
      <c r="J971" s="323"/>
      <c r="K971" s="323"/>
      <c r="L971" s="323"/>
      <c r="M971" s="323"/>
      <c r="N971" s="323"/>
      <c r="O971" s="323"/>
      <c r="P971" s="323"/>
      <c r="Q971" s="323"/>
    </row>
    <row r="972" spans="6:17">
      <c r="F972" s="331"/>
      <c r="G972" s="323"/>
      <c r="H972" s="323"/>
      <c r="I972" s="323"/>
      <c r="J972" s="323"/>
      <c r="K972" s="323"/>
      <c r="L972" s="323"/>
      <c r="M972" s="323"/>
      <c r="N972" s="323"/>
      <c r="O972" s="323"/>
      <c r="P972" s="323"/>
      <c r="Q972" s="323"/>
    </row>
    <row r="973" spans="6:17">
      <c r="F973" s="331"/>
      <c r="G973" s="323"/>
      <c r="H973" s="323"/>
      <c r="I973" s="323"/>
      <c r="J973" s="323"/>
      <c r="K973" s="323"/>
      <c r="L973" s="323"/>
      <c r="M973" s="323"/>
      <c r="N973" s="323"/>
      <c r="O973" s="323"/>
      <c r="P973" s="323"/>
      <c r="Q973" s="323"/>
    </row>
    <row r="974" spans="6:17">
      <c r="F974" s="331"/>
      <c r="G974" s="323"/>
      <c r="H974" s="323"/>
      <c r="I974" s="323"/>
      <c r="J974" s="323"/>
      <c r="K974" s="323"/>
      <c r="L974" s="323"/>
      <c r="M974" s="323"/>
      <c r="N974" s="323"/>
      <c r="O974" s="323"/>
      <c r="P974" s="323"/>
      <c r="Q974" s="323"/>
    </row>
    <row r="975" spans="6:17">
      <c r="F975" s="331"/>
      <c r="G975" s="323"/>
      <c r="H975" s="323"/>
      <c r="I975" s="323"/>
      <c r="J975" s="323"/>
      <c r="K975" s="323"/>
      <c r="L975" s="323"/>
      <c r="M975" s="323"/>
      <c r="N975" s="323"/>
      <c r="O975" s="323"/>
      <c r="P975" s="323"/>
      <c r="Q975" s="323"/>
    </row>
    <row r="976" spans="6:17">
      <c r="F976" s="331"/>
      <c r="G976" s="323"/>
      <c r="H976" s="323"/>
      <c r="I976" s="323"/>
      <c r="J976" s="323"/>
      <c r="K976" s="323"/>
      <c r="L976" s="323"/>
      <c r="M976" s="323"/>
      <c r="N976" s="323"/>
      <c r="O976" s="323"/>
      <c r="P976" s="323"/>
      <c r="Q976" s="323"/>
    </row>
    <row r="977" spans="6:17">
      <c r="F977" s="331"/>
      <c r="G977" s="323"/>
      <c r="H977" s="323"/>
      <c r="I977" s="323"/>
      <c r="J977" s="323"/>
      <c r="K977" s="323"/>
      <c r="L977" s="323"/>
      <c r="M977" s="323"/>
      <c r="N977" s="323"/>
      <c r="O977" s="323"/>
      <c r="P977" s="323"/>
      <c r="Q977" s="323"/>
    </row>
    <row r="978" spans="6:17">
      <c r="F978" s="331"/>
      <c r="G978" s="323"/>
      <c r="H978" s="323"/>
      <c r="I978" s="323"/>
      <c r="J978" s="323"/>
      <c r="K978" s="323"/>
      <c r="L978" s="323"/>
      <c r="M978" s="323"/>
      <c r="N978" s="323"/>
      <c r="O978" s="323"/>
      <c r="P978" s="323"/>
      <c r="Q978" s="323"/>
    </row>
    <row r="979" spans="6:17">
      <c r="F979" s="331"/>
      <c r="G979" s="323"/>
      <c r="H979" s="323"/>
      <c r="I979" s="323"/>
      <c r="J979" s="323"/>
      <c r="K979" s="323"/>
      <c r="L979" s="323"/>
      <c r="M979" s="323"/>
      <c r="N979" s="323"/>
      <c r="O979" s="323"/>
      <c r="P979" s="323"/>
      <c r="Q979" s="323"/>
    </row>
    <row r="980" spans="6:17">
      <c r="F980" s="331"/>
      <c r="G980" s="323"/>
      <c r="H980" s="323"/>
      <c r="I980" s="323"/>
      <c r="J980" s="323"/>
      <c r="K980" s="323"/>
      <c r="L980" s="323"/>
      <c r="M980" s="323"/>
      <c r="N980" s="323"/>
      <c r="O980" s="323"/>
      <c r="P980" s="323"/>
      <c r="Q980" s="323"/>
    </row>
    <row r="981" spans="6:17">
      <c r="F981" s="331"/>
      <c r="G981" s="323"/>
      <c r="H981" s="323"/>
      <c r="I981" s="323"/>
      <c r="J981" s="323"/>
      <c r="K981" s="323"/>
      <c r="L981" s="323"/>
      <c r="M981" s="323"/>
      <c r="N981" s="323"/>
      <c r="O981" s="323"/>
      <c r="P981" s="323"/>
      <c r="Q981" s="323"/>
    </row>
    <row r="982" spans="6:17">
      <c r="F982" s="331"/>
      <c r="G982" s="323"/>
      <c r="H982" s="323"/>
      <c r="I982" s="323"/>
      <c r="J982" s="323"/>
      <c r="K982" s="323"/>
      <c r="L982" s="323"/>
      <c r="M982" s="323"/>
      <c r="N982" s="323"/>
      <c r="O982" s="323"/>
      <c r="P982" s="323"/>
      <c r="Q982" s="323"/>
    </row>
    <row r="983" spans="6:17">
      <c r="F983" s="331"/>
      <c r="G983" s="323"/>
      <c r="H983" s="323"/>
      <c r="I983" s="323"/>
      <c r="J983" s="323"/>
      <c r="K983" s="323"/>
      <c r="L983" s="323"/>
      <c r="M983" s="323"/>
      <c r="N983" s="323"/>
      <c r="O983" s="323"/>
      <c r="P983" s="323"/>
      <c r="Q983" s="323"/>
    </row>
    <row r="984" spans="6:17">
      <c r="F984" s="331"/>
      <c r="G984" s="323"/>
      <c r="H984" s="323"/>
      <c r="I984" s="323"/>
      <c r="J984" s="323"/>
      <c r="K984" s="323"/>
      <c r="L984" s="323"/>
      <c r="M984" s="323"/>
      <c r="N984" s="323"/>
      <c r="O984" s="323"/>
      <c r="P984" s="323"/>
      <c r="Q984" s="323"/>
    </row>
    <row r="985" spans="6:17">
      <c r="F985" s="331"/>
      <c r="G985" s="323"/>
      <c r="H985" s="323"/>
      <c r="I985" s="323"/>
      <c r="J985" s="323"/>
      <c r="K985" s="323"/>
      <c r="L985" s="323"/>
      <c r="M985" s="323"/>
      <c r="N985" s="323"/>
      <c r="O985" s="323"/>
      <c r="P985" s="323"/>
      <c r="Q985" s="323"/>
    </row>
    <row r="986" spans="6:17">
      <c r="F986" s="331"/>
      <c r="G986" s="323"/>
      <c r="H986" s="323"/>
      <c r="I986" s="323"/>
      <c r="J986" s="323"/>
      <c r="K986" s="323"/>
      <c r="L986" s="323"/>
      <c r="M986" s="323"/>
      <c r="N986" s="323"/>
      <c r="O986" s="323"/>
      <c r="P986" s="323"/>
      <c r="Q986" s="323"/>
    </row>
    <row r="987" spans="6:17">
      <c r="F987" s="331"/>
      <c r="G987" s="323"/>
      <c r="H987" s="323"/>
      <c r="I987" s="323"/>
      <c r="J987" s="323"/>
      <c r="K987" s="323"/>
      <c r="L987" s="323"/>
      <c r="M987" s="323"/>
      <c r="N987" s="323"/>
      <c r="O987" s="323"/>
      <c r="P987" s="323"/>
      <c r="Q987" s="323"/>
    </row>
    <row r="988" spans="6:17">
      <c r="F988" s="331"/>
      <c r="G988" s="323"/>
      <c r="H988" s="323"/>
      <c r="I988" s="323"/>
      <c r="J988" s="323"/>
      <c r="K988" s="323"/>
      <c r="L988" s="323"/>
      <c r="M988" s="323"/>
      <c r="N988" s="323"/>
      <c r="O988" s="323"/>
      <c r="P988" s="323"/>
      <c r="Q988" s="323"/>
    </row>
    <row r="989" spans="6:17">
      <c r="F989" s="331"/>
      <c r="G989" s="323"/>
      <c r="H989" s="323"/>
      <c r="I989" s="323"/>
      <c r="J989" s="323"/>
      <c r="K989" s="323"/>
      <c r="L989" s="323"/>
      <c r="M989" s="323"/>
      <c r="N989" s="323"/>
      <c r="O989" s="323"/>
      <c r="P989" s="323"/>
      <c r="Q989" s="323"/>
    </row>
    <row r="990" spans="6:17">
      <c r="F990" s="331"/>
      <c r="G990" s="323"/>
      <c r="H990" s="323"/>
      <c r="I990" s="323"/>
      <c r="J990" s="323"/>
      <c r="K990" s="323"/>
      <c r="L990" s="323"/>
      <c r="M990" s="323"/>
      <c r="N990" s="323"/>
      <c r="O990" s="323"/>
      <c r="P990" s="323"/>
      <c r="Q990" s="323"/>
    </row>
    <row r="991" spans="6:17">
      <c r="F991" s="331"/>
      <c r="G991" s="323"/>
      <c r="H991" s="323"/>
      <c r="I991" s="323"/>
      <c r="J991" s="323"/>
      <c r="K991" s="323"/>
      <c r="L991" s="323"/>
      <c r="M991" s="323"/>
      <c r="N991" s="323"/>
      <c r="O991" s="323"/>
      <c r="P991" s="323"/>
      <c r="Q991" s="323"/>
    </row>
    <row r="992" spans="6:17">
      <c r="F992" s="331"/>
      <c r="G992" s="323"/>
      <c r="H992" s="323"/>
      <c r="I992" s="323"/>
      <c r="J992" s="323"/>
      <c r="K992" s="323"/>
      <c r="L992" s="323"/>
      <c r="M992" s="323"/>
      <c r="N992" s="323"/>
      <c r="O992" s="323"/>
      <c r="P992" s="323"/>
      <c r="Q992" s="323"/>
    </row>
    <row r="993" spans="6:17">
      <c r="F993" s="331"/>
      <c r="G993" s="323"/>
      <c r="H993" s="323"/>
      <c r="I993" s="323"/>
      <c r="J993" s="323"/>
      <c r="K993" s="323"/>
      <c r="L993" s="323"/>
      <c r="M993" s="323"/>
      <c r="N993" s="323"/>
      <c r="O993" s="323"/>
      <c r="P993" s="323"/>
      <c r="Q993" s="323"/>
    </row>
    <row r="994" spans="6:17">
      <c r="F994" s="331"/>
      <c r="G994" s="323"/>
      <c r="H994" s="323"/>
      <c r="I994" s="323"/>
      <c r="J994" s="323"/>
      <c r="K994" s="323"/>
      <c r="L994" s="323"/>
      <c r="M994" s="323"/>
      <c r="N994" s="323"/>
      <c r="O994" s="323"/>
      <c r="P994" s="323"/>
      <c r="Q994" s="323"/>
    </row>
    <row r="995" spans="6:17">
      <c r="F995" s="331"/>
      <c r="G995" s="323"/>
      <c r="H995" s="323"/>
      <c r="I995" s="323"/>
      <c r="J995" s="323"/>
      <c r="K995" s="323"/>
      <c r="L995" s="323"/>
      <c r="M995" s="323"/>
      <c r="N995" s="323"/>
      <c r="O995" s="323"/>
      <c r="P995" s="323"/>
      <c r="Q995" s="323"/>
    </row>
    <row r="996" spans="6:17">
      <c r="F996" s="331"/>
      <c r="G996" s="323"/>
      <c r="H996" s="323"/>
      <c r="I996" s="323"/>
      <c r="J996" s="323"/>
      <c r="K996" s="323"/>
      <c r="L996" s="323"/>
      <c r="M996" s="323"/>
      <c r="N996" s="323"/>
      <c r="O996" s="323"/>
      <c r="P996" s="323"/>
      <c r="Q996" s="323"/>
    </row>
    <row r="997" spans="6:17">
      <c r="F997" s="331"/>
      <c r="G997" s="323"/>
      <c r="H997" s="323"/>
      <c r="I997" s="323"/>
      <c r="J997" s="323"/>
      <c r="K997" s="323"/>
      <c r="L997" s="323"/>
      <c r="M997" s="323"/>
      <c r="N997" s="323"/>
      <c r="O997" s="323"/>
      <c r="P997" s="323"/>
      <c r="Q997" s="323"/>
    </row>
    <row r="998" spans="6:17">
      <c r="F998" s="331"/>
      <c r="G998" s="323"/>
      <c r="H998" s="323"/>
      <c r="I998" s="323"/>
      <c r="J998" s="323"/>
      <c r="K998" s="323"/>
      <c r="L998" s="323"/>
      <c r="M998" s="323"/>
      <c r="N998" s="323"/>
      <c r="O998" s="323"/>
      <c r="P998" s="323"/>
      <c r="Q998" s="323"/>
    </row>
    <row r="999" spans="6:17">
      <c r="F999" s="331"/>
      <c r="G999" s="323"/>
      <c r="H999" s="323"/>
      <c r="I999" s="323"/>
      <c r="J999" s="323"/>
      <c r="K999" s="323"/>
      <c r="L999" s="323"/>
      <c r="M999" s="323"/>
      <c r="N999" s="323"/>
      <c r="O999" s="323"/>
      <c r="P999" s="323"/>
      <c r="Q999" s="323"/>
    </row>
    <row r="1000" spans="6:17">
      <c r="F1000" s="331"/>
      <c r="G1000" s="323"/>
      <c r="H1000" s="323"/>
      <c r="I1000" s="323"/>
      <c r="J1000" s="323"/>
      <c r="K1000" s="323"/>
      <c r="L1000" s="323"/>
      <c r="M1000" s="323"/>
      <c r="N1000" s="323"/>
      <c r="O1000" s="323"/>
      <c r="P1000" s="323"/>
      <c r="Q1000" s="323"/>
    </row>
    <row r="1001" spans="6:17">
      <c r="F1001" s="331"/>
      <c r="G1001" s="323"/>
      <c r="H1001" s="323"/>
      <c r="I1001" s="323"/>
      <c r="J1001" s="323"/>
      <c r="K1001" s="323"/>
      <c r="L1001" s="323"/>
      <c r="M1001" s="323"/>
      <c r="N1001" s="323"/>
      <c r="O1001" s="323"/>
      <c r="P1001" s="323"/>
      <c r="Q1001" s="323"/>
    </row>
    <row r="1002" spans="6:17">
      <c r="F1002" s="331"/>
      <c r="G1002" s="323"/>
      <c r="H1002" s="323"/>
      <c r="I1002" s="323"/>
      <c r="J1002" s="323"/>
      <c r="K1002" s="323"/>
      <c r="L1002" s="323"/>
      <c r="M1002" s="323"/>
      <c r="N1002" s="323"/>
      <c r="O1002" s="323"/>
      <c r="P1002" s="323"/>
      <c r="Q1002" s="323"/>
    </row>
    <row r="1003" spans="6:17">
      <c r="F1003" s="331"/>
      <c r="G1003" s="323"/>
      <c r="H1003" s="323"/>
      <c r="I1003" s="323"/>
      <c r="J1003" s="323"/>
      <c r="K1003" s="323"/>
      <c r="L1003" s="323"/>
      <c r="M1003" s="323"/>
      <c r="N1003" s="323"/>
      <c r="O1003" s="323"/>
      <c r="P1003" s="323"/>
      <c r="Q1003" s="323"/>
    </row>
    <row r="1004" spans="6:17">
      <c r="F1004" s="331"/>
      <c r="G1004" s="323"/>
      <c r="H1004" s="323"/>
      <c r="I1004" s="323"/>
      <c r="J1004" s="323"/>
      <c r="K1004" s="323"/>
      <c r="L1004" s="323"/>
      <c r="M1004" s="323"/>
      <c r="N1004" s="323"/>
      <c r="O1004" s="323"/>
      <c r="P1004" s="323"/>
      <c r="Q1004" s="323"/>
    </row>
    <row r="1005" spans="6:17">
      <c r="F1005" s="331"/>
      <c r="G1005" s="323"/>
      <c r="H1005" s="323"/>
      <c r="I1005" s="323"/>
      <c r="J1005" s="323"/>
      <c r="K1005" s="323"/>
      <c r="L1005" s="323"/>
      <c r="M1005" s="323"/>
      <c r="N1005" s="323"/>
      <c r="O1005" s="323"/>
      <c r="P1005" s="323"/>
      <c r="Q1005" s="323"/>
    </row>
    <row r="1006" spans="6:17">
      <c r="F1006" s="331"/>
      <c r="G1006" s="323"/>
      <c r="H1006" s="323"/>
      <c r="I1006" s="323"/>
      <c r="J1006" s="323"/>
      <c r="K1006" s="323"/>
      <c r="L1006" s="323"/>
      <c r="M1006" s="323"/>
      <c r="N1006" s="323"/>
      <c r="O1006" s="323"/>
      <c r="P1006" s="323"/>
      <c r="Q1006" s="323"/>
    </row>
    <row r="1007" spans="6:17">
      <c r="F1007" s="331"/>
      <c r="G1007" s="323"/>
      <c r="H1007" s="323"/>
      <c r="I1007" s="323"/>
      <c r="J1007" s="323"/>
      <c r="K1007" s="323"/>
      <c r="L1007" s="323"/>
      <c r="M1007" s="323"/>
      <c r="N1007" s="323"/>
      <c r="O1007" s="323"/>
      <c r="P1007" s="323"/>
      <c r="Q1007" s="323"/>
    </row>
    <row r="1008" spans="6:17">
      <c r="F1008" s="331"/>
      <c r="G1008" s="323"/>
      <c r="H1008" s="323"/>
      <c r="I1008" s="323"/>
      <c r="J1008" s="323"/>
      <c r="K1008" s="323"/>
      <c r="L1008" s="323"/>
      <c r="M1008" s="323"/>
      <c r="N1008" s="323"/>
      <c r="O1008" s="323"/>
      <c r="P1008" s="323"/>
      <c r="Q1008" s="323"/>
    </row>
    <row r="1009" spans="6:17">
      <c r="F1009" s="331"/>
      <c r="G1009" s="323"/>
      <c r="H1009" s="323"/>
      <c r="I1009" s="323"/>
      <c r="J1009" s="323"/>
      <c r="K1009" s="323"/>
      <c r="L1009" s="323"/>
      <c r="M1009" s="323"/>
      <c r="N1009" s="323"/>
      <c r="O1009" s="323"/>
      <c r="P1009" s="323"/>
      <c r="Q1009" s="323"/>
    </row>
    <row r="1010" spans="6:17">
      <c r="F1010" s="331"/>
      <c r="G1010" s="323"/>
      <c r="H1010" s="323"/>
      <c r="I1010" s="323"/>
      <c r="J1010" s="323"/>
      <c r="K1010" s="323"/>
      <c r="L1010" s="323"/>
      <c r="M1010" s="323"/>
      <c r="N1010" s="323"/>
      <c r="O1010" s="323"/>
      <c r="P1010" s="323"/>
      <c r="Q1010" s="323"/>
    </row>
    <row r="1011" spans="6:17">
      <c r="F1011" s="331"/>
      <c r="G1011" s="323"/>
      <c r="H1011" s="323"/>
      <c r="I1011" s="323"/>
      <c r="J1011" s="323"/>
      <c r="K1011" s="323"/>
      <c r="L1011" s="323"/>
      <c r="M1011" s="323"/>
      <c r="N1011" s="323"/>
      <c r="O1011" s="323"/>
      <c r="P1011" s="323"/>
      <c r="Q1011" s="323"/>
    </row>
    <row r="1012" spans="6:17">
      <c r="F1012" s="331"/>
      <c r="G1012" s="323"/>
      <c r="H1012" s="323"/>
      <c r="I1012" s="323"/>
      <c r="J1012" s="323"/>
      <c r="K1012" s="323"/>
      <c r="L1012" s="323"/>
      <c r="M1012" s="323"/>
      <c r="N1012" s="323"/>
      <c r="O1012" s="323"/>
      <c r="P1012" s="323"/>
      <c r="Q1012" s="323"/>
    </row>
    <row r="1013" spans="6:17">
      <c r="F1013" s="331"/>
      <c r="G1013" s="323"/>
      <c r="H1013" s="323"/>
      <c r="I1013" s="323"/>
      <c r="J1013" s="323"/>
      <c r="K1013" s="323"/>
      <c r="L1013" s="323"/>
      <c r="M1013" s="323"/>
      <c r="N1013" s="323"/>
      <c r="O1013" s="323"/>
      <c r="P1013" s="323"/>
      <c r="Q1013" s="323"/>
    </row>
    <row r="1014" spans="6:17">
      <c r="F1014" s="331"/>
      <c r="G1014" s="323"/>
      <c r="H1014" s="323"/>
      <c r="I1014" s="323"/>
      <c r="J1014" s="323"/>
      <c r="K1014" s="323"/>
      <c r="L1014" s="323"/>
      <c r="M1014" s="323"/>
      <c r="N1014" s="323"/>
      <c r="O1014" s="323"/>
      <c r="P1014" s="323"/>
      <c r="Q1014" s="323"/>
    </row>
    <row r="1015" spans="6:17">
      <c r="F1015" s="331"/>
      <c r="G1015" s="323"/>
      <c r="H1015" s="323"/>
      <c r="I1015" s="323"/>
      <c r="J1015" s="323"/>
      <c r="K1015" s="323"/>
      <c r="L1015" s="323"/>
      <c r="M1015" s="323"/>
      <c r="N1015" s="323"/>
      <c r="O1015" s="323"/>
      <c r="P1015" s="323"/>
      <c r="Q1015" s="323"/>
    </row>
    <row r="1016" spans="6:17">
      <c r="F1016" s="331"/>
      <c r="G1016" s="323"/>
      <c r="H1016" s="323"/>
      <c r="I1016" s="323"/>
      <c r="J1016" s="323"/>
      <c r="K1016" s="323"/>
      <c r="L1016" s="323"/>
      <c r="M1016" s="323"/>
      <c r="N1016" s="323"/>
      <c r="O1016" s="323"/>
      <c r="P1016" s="323"/>
      <c r="Q1016" s="323"/>
    </row>
    <row r="1017" spans="6:17">
      <c r="F1017" s="331"/>
      <c r="G1017" s="323"/>
      <c r="H1017" s="323"/>
      <c r="I1017" s="323"/>
      <c r="J1017" s="323"/>
      <c r="K1017" s="323"/>
      <c r="L1017" s="323"/>
      <c r="M1017" s="323"/>
      <c r="N1017" s="323"/>
      <c r="O1017" s="323"/>
      <c r="P1017" s="323"/>
      <c r="Q1017" s="323"/>
    </row>
    <row r="1018" spans="6:17">
      <c r="F1018" s="331"/>
      <c r="G1018" s="323"/>
      <c r="H1018" s="323"/>
      <c r="I1018" s="323"/>
      <c r="J1018" s="323"/>
      <c r="K1018" s="323"/>
      <c r="L1018" s="323"/>
      <c r="M1018" s="323"/>
      <c r="N1018" s="323"/>
      <c r="O1018" s="323"/>
      <c r="P1018" s="323"/>
      <c r="Q1018" s="323"/>
    </row>
    <row r="1019" spans="6:17">
      <c r="F1019" s="331"/>
      <c r="G1019" s="323"/>
      <c r="H1019" s="323"/>
      <c r="I1019" s="323"/>
      <c r="J1019" s="323"/>
      <c r="K1019" s="323"/>
      <c r="L1019" s="323"/>
      <c r="M1019" s="323"/>
      <c r="N1019" s="323"/>
      <c r="O1019" s="323"/>
      <c r="P1019" s="323"/>
      <c r="Q1019" s="323"/>
    </row>
    <row r="1020" spans="6:17">
      <c r="F1020" s="331"/>
      <c r="G1020" s="323"/>
      <c r="H1020" s="323"/>
      <c r="I1020" s="323"/>
      <c r="J1020" s="323"/>
      <c r="K1020" s="323"/>
      <c r="L1020" s="323"/>
      <c r="M1020" s="323"/>
      <c r="N1020" s="323"/>
      <c r="O1020" s="323"/>
      <c r="P1020" s="323"/>
      <c r="Q1020" s="323"/>
    </row>
    <row r="1021" spans="6:17">
      <c r="F1021" s="331"/>
      <c r="G1021" s="323"/>
      <c r="H1021" s="323"/>
      <c r="I1021" s="323"/>
      <c r="J1021" s="323"/>
      <c r="K1021" s="323"/>
      <c r="L1021" s="323"/>
      <c r="M1021" s="323"/>
      <c r="N1021" s="323"/>
      <c r="O1021" s="323"/>
      <c r="P1021" s="323"/>
      <c r="Q1021" s="323"/>
    </row>
    <row r="1022" spans="6:17">
      <c r="F1022" s="331"/>
      <c r="G1022" s="323"/>
      <c r="H1022" s="323"/>
      <c r="I1022" s="323"/>
      <c r="J1022" s="323"/>
      <c r="K1022" s="323"/>
      <c r="L1022" s="323"/>
      <c r="M1022" s="323"/>
      <c r="N1022" s="323"/>
      <c r="O1022" s="323"/>
      <c r="P1022" s="323"/>
      <c r="Q1022" s="323"/>
    </row>
    <row r="1023" spans="6:17">
      <c r="F1023" s="331"/>
      <c r="G1023" s="323"/>
      <c r="H1023" s="323"/>
      <c r="I1023" s="323"/>
      <c r="J1023" s="323"/>
      <c r="K1023" s="323"/>
      <c r="L1023" s="323"/>
      <c r="M1023" s="323"/>
      <c r="N1023" s="323"/>
      <c r="O1023" s="323"/>
      <c r="P1023" s="323"/>
      <c r="Q1023" s="323"/>
    </row>
    <row r="1024" spans="6:17">
      <c r="F1024" s="331"/>
      <c r="G1024" s="323"/>
      <c r="H1024" s="323"/>
      <c r="I1024" s="323"/>
      <c r="J1024" s="323"/>
      <c r="K1024" s="323"/>
      <c r="L1024" s="323"/>
      <c r="M1024" s="323"/>
      <c r="N1024" s="323"/>
      <c r="O1024" s="323"/>
      <c r="P1024" s="323"/>
      <c r="Q1024" s="323"/>
    </row>
    <row r="1025" spans="6:17">
      <c r="F1025" s="331"/>
      <c r="G1025" s="323"/>
      <c r="H1025" s="323"/>
      <c r="I1025" s="323"/>
      <c r="J1025" s="323"/>
      <c r="K1025" s="323"/>
      <c r="L1025" s="323"/>
      <c r="M1025" s="323"/>
      <c r="N1025" s="323"/>
      <c r="O1025" s="323"/>
      <c r="P1025" s="323"/>
      <c r="Q1025" s="323"/>
    </row>
    <row r="1026" spans="6:17">
      <c r="F1026" s="331"/>
      <c r="G1026" s="323"/>
      <c r="H1026" s="323"/>
      <c r="I1026" s="323"/>
      <c r="J1026" s="323"/>
      <c r="K1026" s="323"/>
      <c r="L1026" s="323"/>
      <c r="M1026" s="323"/>
      <c r="N1026" s="323"/>
      <c r="O1026" s="323"/>
      <c r="P1026" s="323"/>
      <c r="Q1026" s="323"/>
    </row>
    <row r="1027" spans="6:17">
      <c r="F1027" s="331"/>
      <c r="G1027" s="323"/>
      <c r="H1027" s="323"/>
      <c r="I1027" s="323"/>
      <c r="J1027" s="323"/>
      <c r="K1027" s="323"/>
      <c r="L1027" s="323"/>
      <c r="M1027" s="323"/>
      <c r="N1027" s="323"/>
      <c r="O1027" s="323"/>
      <c r="P1027" s="323"/>
      <c r="Q1027" s="323"/>
    </row>
    <row r="1028" spans="6:17">
      <c r="F1028" s="331"/>
      <c r="G1028" s="323"/>
      <c r="H1028" s="323"/>
      <c r="I1028" s="323"/>
      <c r="J1028" s="323"/>
      <c r="K1028" s="323"/>
      <c r="L1028" s="323"/>
      <c r="M1028" s="323"/>
      <c r="N1028" s="323"/>
      <c r="O1028" s="323"/>
      <c r="P1028" s="323"/>
      <c r="Q1028" s="323"/>
    </row>
    <row r="1029" spans="6:17">
      <c r="F1029" s="331"/>
      <c r="G1029" s="323"/>
      <c r="H1029" s="323"/>
      <c r="I1029" s="323"/>
      <c r="J1029" s="323"/>
      <c r="K1029" s="323"/>
      <c r="L1029" s="323"/>
      <c r="M1029" s="323"/>
      <c r="N1029" s="323"/>
      <c r="O1029" s="323"/>
      <c r="P1029" s="323"/>
      <c r="Q1029" s="323"/>
    </row>
    <row r="1030" spans="6:17">
      <c r="F1030" s="331"/>
      <c r="G1030" s="323"/>
      <c r="H1030" s="323"/>
      <c r="I1030" s="323"/>
      <c r="J1030" s="323"/>
      <c r="K1030" s="323"/>
      <c r="L1030" s="323"/>
      <c r="M1030" s="323"/>
      <c r="N1030" s="323"/>
      <c r="O1030" s="323"/>
      <c r="P1030" s="323"/>
      <c r="Q1030" s="323"/>
    </row>
    <row r="1031" spans="6:17">
      <c r="F1031" s="331"/>
      <c r="G1031" s="323"/>
      <c r="H1031" s="323"/>
      <c r="I1031" s="323"/>
      <c r="J1031" s="323"/>
      <c r="K1031" s="323"/>
      <c r="L1031" s="323"/>
      <c r="M1031" s="323"/>
      <c r="N1031" s="323"/>
      <c r="O1031" s="323"/>
      <c r="P1031" s="323"/>
      <c r="Q1031" s="323"/>
    </row>
    <row r="1032" spans="6:17">
      <c r="F1032" s="331"/>
      <c r="G1032" s="323"/>
      <c r="H1032" s="323"/>
      <c r="I1032" s="323"/>
      <c r="J1032" s="323"/>
      <c r="K1032" s="323"/>
      <c r="L1032" s="323"/>
      <c r="M1032" s="323"/>
      <c r="N1032" s="323"/>
      <c r="O1032" s="323"/>
      <c r="P1032" s="323"/>
      <c r="Q1032" s="323"/>
    </row>
    <row r="1033" spans="6:17">
      <c r="F1033" s="331"/>
      <c r="G1033" s="323"/>
      <c r="H1033" s="323"/>
      <c r="I1033" s="323"/>
      <c r="J1033" s="323"/>
      <c r="K1033" s="323"/>
      <c r="L1033" s="323"/>
      <c r="M1033" s="323"/>
      <c r="N1033" s="323"/>
      <c r="O1033" s="323"/>
      <c r="P1033" s="323"/>
      <c r="Q1033" s="323"/>
    </row>
    <row r="1034" spans="6:17">
      <c r="F1034" s="331"/>
      <c r="G1034" s="323"/>
      <c r="H1034" s="323"/>
      <c r="I1034" s="323"/>
      <c r="J1034" s="323"/>
      <c r="K1034" s="323"/>
      <c r="L1034" s="323"/>
      <c r="M1034" s="323"/>
      <c r="N1034" s="323"/>
      <c r="O1034" s="323"/>
      <c r="P1034" s="323"/>
      <c r="Q1034" s="323"/>
    </row>
    <row r="1035" spans="6:17">
      <c r="F1035" s="331"/>
      <c r="G1035" s="323"/>
      <c r="H1035" s="323"/>
      <c r="I1035" s="323"/>
      <c r="J1035" s="323"/>
      <c r="K1035" s="323"/>
      <c r="L1035" s="323"/>
      <c r="M1035" s="323"/>
      <c r="N1035" s="323"/>
      <c r="O1035" s="323"/>
      <c r="P1035" s="323"/>
      <c r="Q1035" s="323"/>
    </row>
    <row r="1036" spans="6:17">
      <c r="F1036" s="331"/>
      <c r="G1036" s="323"/>
      <c r="H1036" s="323"/>
      <c r="I1036" s="323"/>
      <c r="J1036" s="323"/>
      <c r="K1036" s="323"/>
      <c r="L1036" s="323"/>
      <c r="M1036" s="323"/>
      <c r="N1036" s="323"/>
      <c r="O1036" s="323"/>
      <c r="P1036" s="323"/>
      <c r="Q1036" s="323"/>
    </row>
    <row r="1037" spans="6:17">
      <c r="F1037" s="331"/>
      <c r="G1037" s="323"/>
      <c r="H1037" s="323"/>
      <c r="I1037" s="323"/>
      <c r="J1037" s="323"/>
      <c r="K1037" s="323"/>
      <c r="L1037" s="323"/>
      <c r="M1037" s="323"/>
      <c r="N1037" s="323"/>
      <c r="O1037" s="323"/>
      <c r="P1037" s="323"/>
      <c r="Q1037" s="323"/>
    </row>
    <row r="1038" spans="6:17">
      <c r="F1038" s="331"/>
      <c r="G1038" s="323"/>
      <c r="H1038" s="323"/>
      <c r="I1038" s="323"/>
      <c r="J1038" s="323"/>
      <c r="K1038" s="323"/>
      <c r="L1038" s="323"/>
      <c r="M1038" s="323"/>
      <c r="N1038" s="323"/>
      <c r="O1038" s="323"/>
      <c r="P1038" s="323"/>
      <c r="Q1038" s="323"/>
    </row>
    <row r="1039" spans="6:17">
      <c r="F1039" s="331"/>
      <c r="G1039" s="323"/>
      <c r="H1039" s="323"/>
      <c r="I1039" s="323"/>
      <c r="J1039" s="323"/>
      <c r="K1039" s="323"/>
      <c r="L1039" s="323"/>
      <c r="M1039" s="323"/>
      <c r="N1039" s="323"/>
      <c r="O1039" s="323"/>
      <c r="P1039" s="323"/>
      <c r="Q1039" s="323"/>
    </row>
    <row r="1040" spans="6:17">
      <c r="F1040" s="331"/>
      <c r="G1040" s="323"/>
      <c r="H1040" s="323"/>
      <c r="I1040" s="323"/>
      <c r="J1040" s="323"/>
      <c r="K1040" s="323"/>
      <c r="L1040" s="323"/>
      <c r="M1040" s="323"/>
      <c r="N1040" s="323"/>
      <c r="O1040" s="323"/>
      <c r="P1040" s="323"/>
      <c r="Q1040" s="323"/>
    </row>
    <row r="1041" spans="6:17">
      <c r="F1041" s="331"/>
      <c r="G1041" s="323"/>
      <c r="H1041" s="323"/>
      <c r="I1041" s="323"/>
      <c r="J1041" s="323"/>
      <c r="K1041" s="323"/>
      <c r="L1041" s="323"/>
      <c r="M1041" s="323"/>
      <c r="N1041" s="323"/>
      <c r="O1041" s="323"/>
      <c r="P1041" s="323"/>
      <c r="Q1041" s="323"/>
    </row>
    <row r="1042" spans="6:17">
      <c r="F1042" s="331"/>
      <c r="G1042" s="323"/>
      <c r="H1042" s="323"/>
      <c r="I1042" s="323"/>
      <c r="J1042" s="323"/>
      <c r="K1042" s="323"/>
      <c r="L1042" s="323"/>
      <c r="M1042" s="323"/>
      <c r="N1042" s="323"/>
      <c r="O1042" s="323"/>
      <c r="P1042" s="323"/>
      <c r="Q1042" s="323"/>
    </row>
    <row r="1043" spans="6:17">
      <c r="F1043" s="331"/>
      <c r="G1043" s="323"/>
      <c r="H1043" s="323"/>
      <c r="I1043" s="323"/>
      <c r="J1043" s="323"/>
      <c r="K1043" s="323"/>
      <c r="L1043" s="323"/>
      <c r="M1043" s="323"/>
      <c r="N1043" s="323"/>
      <c r="O1043" s="323"/>
      <c r="P1043" s="323"/>
      <c r="Q1043" s="323"/>
    </row>
    <row r="1044" spans="6:17">
      <c r="F1044" s="331"/>
      <c r="G1044" s="323"/>
      <c r="H1044" s="323"/>
      <c r="I1044" s="323"/>
      <c r="J1044" s="323"/>
      <c r="K1044" s="323"/>
      <c r="L1044" s="323"/>
      <c r="M1044" s="323"/>
      <c r="N1044" s="323"/>
      <c r="O1044" s="323"/>
      <c r="P1044" s="323"/>
      <c r="Q1044" s="323"/>
    </row>
    <row r="1045" spans="6:17">
      <c r="F1045" s="331"/>
      <c r="G1045" s="323"/>
      <c r="H1045" s="323"/>
      <c r="I1045" s="323"/>
      <c r="J1045" s="323"/>
      <c r="K1045" s="323"/>
      <c r="L1045" s="323"/>
      <c r="M1045" s="323"/>
      <c r="N1045" s="323"/>
      <c r="O1045" s="323"/>
      <c r="P1045" s="323"/>
      <c r="Q1045" s="323"/>
    </row>
    <row r="1046" spans="6:17">
      <c r="F1046" s="331"/>
      <c r="G1046" s="323"/>
      <c r="H1046" s="323"/>
      <c r="I1046" s="323"/>
      <c r="J1046" s="323"/>
      <c r="K1046" s="323"/>
      <c r="L1046" s="323"/>
      <c r="M1046" s="323"/>
      <c r="N1046" s="323"/>
      <c r="O1046" s="323"/>
      <c r="P1046" s="323"/>
      <c r="Q1046" s="323"/>
    </row>
    <row r="1047" spans="6:17">
      <c r="F1047" s="331"/>
      <c r="G1047" s="323"/>
      <c r="H1047" s="323"/>
      <c r="I1047" s="323"/>
      <c r="J1047" s="323"/>
      <c r="K1047" s="323"/>
      <c r="L1047" s="323"/>
      <c r="M1047" s="323"/>
      <c r="N1047" s="323"/>
      <c r="O1047" s="323"/>
      <c r="P1047" s="323"/>
      <c r="Q1047" s="323"/>
    </row>
    <row r="1048" spans="6:17">
      <c r="F1048" s="331"/>
      <c r="G1048" s="323"/>
      <c r="H1048" s="323"/>
      <c r="I1048" s="323"/>
      <c r="J1048" s="323"/>
      <c r="K1048" s="323"/>
      <c r="L1048" s="323"/>
      <c r="M1048" s="323"/>
      <c r="N1048" s="323"/>
      <c r="O1048" s="323"/>
      <c r="P1048" s="323"/>
      <c r="Q1048" s="323"/>
    </row>
    <row r="1049" spans="6:17">
      <c r="F1049" s="331"/>
      <c r="G1049" s="323"/>
      <c r="H1049" s="323"/>
      <c r="I1049" s="323"/>
      <c r="J1049" s="323"/>
      <c r="K1049" s="323"/>
      <c r="L1049" s="323"/>
      <c r="M1049" s="323"/>
      <c r="N1049" s="323"/>
      <c r="O1049" s="323"/>
      <c r="P1049" s="323"/>
      <c r="Q1049" s="323"/>
    </row>
    <row r="1050" spans="6:17">
      <c r="F1050" s="331"/>
      <c r="G1050" s="323"/>
      <c r="H1050" s="323"/>
      <c r="I1050" s="323"/>
      <c r="J1050" s="323"/>
      <c r="K1050" s="323"/>
      <c r="L1050" s="323"/>
      <c r="M1050" s="323"/>
      <c r="N1050" s="323"/>
      <c r="O1050" s="323"/>
      <c r="P1050" s="323"/>
      <c r="Q1050" s="323"/>
    </row>
    <row r="1051" spans="6:17">
      <c r="F1051" s="331"/>
      <c r="G1051" s="323"/>
      <c r="H1051" s="323"/>
      <c r="I1051" s="323"/>
      <c r="J1051" s="323"/>
      <c r="K1051" s="323"/>
      <c r="L1051" s="323"/>
      <c r="M1051" s="323"/>
      <c r="N1051" s="323"/>
      <c r="O1051" s="323"/>
      <c r="P1051" s="323"/>
      <c r="Q1051" s="323"/>
    </row>
    <row r="1052" spans="6:17">
      <c r="F1052" s="331"/>
      <c r="G1052" s="323"/>
      <c r="H1052" s="323"/>
      <c r="I1052" s="323"/>
      <c r="J1052" s="323"/>
      <c r="K1052" s="323"/>
      <c r="L1052" s="323"/>
      <c r="M1052" s="323"/>
      <c r="N1052" s="323"/>
      <c r="O1052" s="323"/>
      <c r="P1052" s="323"/>
      <c r="Q1052" s="323"/>
    </row>
    <row r="1053" spans="6:17">
      <c r="F1053" s="331"/>
      <c r="G1053" s="323"/>
      <c r="H1053" s="323"/>
      <c r="I1053" s="323"/>
      <c r="J1053" s="323"/>
      <c r="K1053" s="323"/>
      <c r="L1053" s="323"/>
      <c r="M1053" s="323"/>
      <c r="N1053" s="323"/>
      <c r="O1053" s="323"/>
      <c r="P1053" s="323"/>
      <c r="Q1053" s="323"/>
    </row>
    <row r="1054" spans="6:17">
      <c r="F1054" s="331"/>
      <c r="G1054" s="323"/>
      <c r="H1054" s="323"/>
      <c r="I1054" s="323"/>
      <c r="J1054" s="323"/>
      <c r="K1054" s="323"/>
      <c r="L1054" s="323"/>
      <c r="M1054" s="323"/>
      <c r="N1054" s="323"/>
      <c r="O1054" s="323"/>
      <c r="P1054" s="323"/>
      <c r="Q1054" s="323"/>
    </row>
    <row r="1055" spans="6:17">
      <c r="F1055" s="331"/>
      <c r="G1055" s="323"/>
      <c r="H1055" s="323"/>
      <c r="I1055" s="323"/>
      <c r="J1055" s="323"/>
      <c r="K1055" s="323"/>
      <c r="L1055" s="323"/>
      <c r="M1055" s="323"/>
      <c r="N1055" s="323"/>
      <c r="O1055" s="323"/>
      <c r="P1055" s="323"/>
      <c r="Q1055" s="323"/>
    </row>
    <row r="1056" spans="6:17">
      <c r="F1056" s="331"/>
      <c r="G1056" s="323"/>
      <c r="H1056" s="323"/>
      <c r="I1056" s="323"/>
      <c r="J1056" s="323"/>
      <c r="K1056" s="323"/>
      <c r="L1056" s="323"/>
      <c r="M1056" s="323"/>
      <c r="N1056" s="323"/>
      <c r="O1056" s="323"/>
      <c r="P1056" s="323"/>
      <c r="Q1056" s="323"/>
    </row>
    <row r="1057" spans="6:17">
      <c r="F1057" s="331"/>
      <c r="G1057" s="323"/>
      <c r="H1057" s="323"/>
      <c r="I1057" s="323"/>
      <c r="J1057" s="323"/>
      <c r="K1057" s="323"/>
      <c r="L1057" s="323"/>
      <c r="M1057" s="323"/>
      <c r="N1057" s="323"/>
      <c r="O1057" s="323"/>
      <c r="P1057" s="323"/>
      <c r="Q1057" s="323"/>
    </row>
    <row r="1058" spans="6:17">
      <c r="F1058" s="331"/>
      <c r="G1058" s="323"/>
      <c r="H1058" s="323"/>
      <c r="I1058" s="323"/>
      <c r="J1058" s="323"/>
      <c r="K1058" s="323"/>
      <c r="L1058" s="323"/>
      <c r="M1058" s="323"/>
      <c r="N1058" s="323"/>
      <c r="O1058" s="323"/>
      <c r="P1058" s="323"/>
      <c r="Q1058" s="323"/>
    </row>
    <row r="1059" spans="6:17">
      <c r="F1059" s="331"/>
      <c r="G1059" s="323"/>
      <c r="H1059" s="323"/>
      <c r="I1059" s="323"/>
      <c r="J1059" s="323"/>
      <c r="K1059" s="323"/>
      <c r="L1059" s="323"/>
      <c r="M1059" s="323"/>
      <c r="N1059" s="323"/>
      <c r="O1059" s="323"/>
      <c r="P1059" s="323"/>
      <c r="Q1059" s="323"/>
    </row>
    <row r="1060" spans="6:17">
      <c r="F1060" s="331"/>
      <c r="G1060" s="323"/>
      <c r="H1060" s="323"/>
      <c r="I1060" s="323"/>
      <c r="J1060" s="323"/>
      <c r="K1060" s="323"/>
      <c r="L1060" s="323"/>
      <c r="M1060" s="323"/>
      <c r="N1060" s="323"/>
      <c r="O1060" s="323"/>
      <c r="P1060" s="323"/>
      <c r="Q1060" s="323"/>
    </row>
    <row r="1061" spans="6:17">
      <c r="F1061" s="331"/>
      <c r="G1061" s="323"/>
      <c r="H1061" s="323"/>
      <c r="I1061" s="323"/>
      <c r="J1061" s="323"/>
      <c r="K1061" s="323"/>
      <c r="L1061" s="323"/>
      <c r="M1061" s="323"/>
      <c r="N1061" s="323"/>
      <c r="O1061" s="323"/>
      <c r="P1061" s="323"/>
      <c r="Q1061" s="323"/>
    </row>
    <row r="1062" spans="6:17">
      <c r="F1062" s="331"/>
      <c r="G1062" s="323"/>
      <c r="H1062" s="323"/>
      <c r="I1062" s="323"/>
      <c r="J1062" s="323"/>
      <c r="K1062" s="323"/>
      <c r="L1062" s="323"/>
      <c r="M1062" s="323"/>
      <c r="N1062" s="323"/>
      <c r="O1062" s="323"/>
      <c r="P1062" s="323"/>
      <c r="Q1062" s="323"/>
    </row>
    <row r="1063" spans="6:17">
      <c r="F1063" s="331"/>
      <c r="G1063" s="323"/>
      <c r="H1063" s="323"/>
      <c r="I1063" s="323"/>
      <c r="J1063" s="323"/>
      <c r="K1063" s="323"/>
      <c r="L1063" s="323"/>
      <c r="M1063" s="323"/>
      <c r="N1063" s="323"/>
      <c r="O1063" s="323"/>
      <c r="P1063" s="323"/>
      <c r="Q1063" s="323"/>
    </row>
    <row r="1064" spans="6:17">
      <c r="F1064" s="331"/>
      <c r="G1064" s="323"/>
      <c r="H1064" s="323"/>
      <c r="I1064" s="323"/>
      <c r="J1064" s="323"/>
      <c r="K1064" s="323"/>
      <c r="L1064" s="323"/>
      <c r="M1064" s="323"/>
      <c r="N1064" s="323"/>
      <c r="O1064" s="323"/>
      <c r="P1064" s="323"/>
      <c r="Q1064" s="323"/>
    </row>
    <row r="1065" spans="6:17">
      <c r="F1065" s="331"/>
      <c r="G1065" s="323"/>
      <c r="H1065" s="323"/>
      <c r="I1065" s="323"/>
      <c r="J1065" s="323"/>
      <c r="K1065" s="323"/>
      <c r="L1065" s="323"/>
      <c r="M1065" s="323"/>
      <c r="N1065" s="323"/>
      <c r="O1065" s="323"/>
      <c r="P1065" s="323"/>
      <c r="Q1065" s="323"/>
    </row>
    <row r="1066" spans="6:17">
      <c r="F1066" s="331"/>
      <c r="G1066" s="323"/>
      <c r="H1066" s="323"/>
      <c r="I1066" s="323"/>
      <c r="J1066" s="323"/>
      <c r="K1066" s="323"/>
      <c r="L1066" s="323"/>
      <c r="M1066" s="323"/>
      <c r="N1066" s="323"/>
      <c r="O1066" s="323"/>
      <c r="P1066" s="323"/>
      <c r="Q1066" s="323"/>
    </row>
    <row r="1067" spans="6:17">
      <c r="F1067" s="331"/>
      <c r="G1067" s="323"/>
      <c r="H1067" s="323"/>
      <c r="I1067" s="323"/>
      <c r="J1067" s="323"/>
      <c r="K1067" s="323"/>
      <c r="L1067" s="323"/>
      <c r="M1067" s="323"/>
      <c r="N1067" s="323"/>
      <c r="O1067" s="323"/>
      <c r="P1067" s="323"/>
      <c r="Q1067" s="323"/>
    </row>
    <row r="1068" spans="6:17">
      <c r="F1068" s="331"/>
      <c r="G1068" s="323"/>
      <c r="H1068" s="323"/>
      <c r="I1068" s="323"/>
      <c r="J1068" s="323"/>
      <c r="K1068" s="323"/>
      <c r="L1068" s="323"/>
      <c r="M1068" s="323"/>
      <c r="N1068" s="323"/>
      <c r="O1068" s="323"/>
      <c r="P1068" s="323"/>
      <c r="Q1068" s="323"/>
    </row>
    <row r="1069" spans="6:17">
      <c r="F1069" s="331"/>
      <c r="G1069" s="323"/>
      <c r="H1069" s="323"/>
      <c r="I1069" s="323"/>
      <c r="J1069" s="323"/>
      <c r="K1069" s="323"/>
      <c r="L1069" s="323"/>
      <c r="M1069" s="323"/>
      <c r="N1069" s="323"/>
      <c r="O1069" s="323"/>
      <c r="P1069" s="323"/>
      <c r="Q1069" s="323"/>
    </row>
    <row r="1070" spans="6:17">
      <c r="F1070" s="331"/>
      <c r="G1070" s="323"/>
      <c r="H1070" s="323"/>
      <c r="I1070" s="323"/>
      <c r="J1070" s="323"/>
      <c r="K1070" s="323"/>
      <c r="L1070" s="323"/>
      <c r="M1070" s="323"/>
      <c r="N1070" s="323"/>
      <c r="O1070" s="323"/>
      <c r="P1070" s="323"/>
      <c r="Q1070" s="323"/>
    </row>
    <row r="1071" spans="6:17">
      <c r="F1071" s="331"/>
      <c r="G1071" s="323"/>
      <c r="H1071" s="323"/>
      <c r="I1071" s="323"/>
      <c r="J1071" s="323"/>
      <c r="K1071" s="323"/>
      <c r="L1071" s="323"/>
      <c r="M1071" s="323"/>
      <c r="N1071" s="323"/>
      <c r="O1071" s="323"/>
      <c r="P1071" s="323"/>
      <c r="Q1071" s="323"/>
    </row>
    <row r="1072" spans="6:17">
      <c r="F1072" s="331"/>
      <c r="G1072" s="323"/>
      <c r="H1072" s="323"/>
      <c r="I1072" s="323"/>
      <c r="J1072" s="323"/>
      <c r="K1072" s="323"/>
      <c r="L1072" s="323"/>
      <c r="M1072" s="323"/>
      <c r="N1072" s="323"/>
      <c r="O1072" s="323"/>
      <c r="P1072" s="323"/>
      <c r="Q1072" s="323"/>
    </row>
    <row r="1073" spans="6:17">
      <c r="F1073" s="331"/>
      <c r="G1073" s="323"/>
      <c r="H1073" s="323"/>
      <c r="I1073" s="323"/>
      <c r="J1073" s="323"/>
      <c r="K1073" s="323"/>
      <c r="L1073" s="323"/>
      <c r="M1073" s="323"/>
      <c r="N1073" s="323"/>
      <c r="O1073" s="323"/>
      <c r="P1073" s="323"/>
      <c r="Q1073" s="323"/>
    </row>
    <row r="1074" spans="6:17">
      <c r="F1074" s="331"/>
      <c r="G1074" s="323"/>
      <c r="H1074" s="323"/>
      <c r="I1074" s="323"/>
      <c r="J1074" s="323"/>
      <c r="K1074" s="323"/>
      <c r="L1074" s="323"/>
      <c r="M1074" s="323"/>
      <c r="N1074" s="323"/>
      <c r="O1074" s="323"/>
      <c r="P1074" s="323"/>
      <c r="Q1074" s="323"/>
    </row>
    <row r="1075" spans="6:17">
      <c r="F1075" s="331"/>
      <c r="G1075" s="323"/>
      <c r="H1075" s="323"/>
      <c r="I1075" s="323"/>
      <c r="J1075" s="323"/>
      <c r="K1075" s="323"/>
      <c r="L1075" s="323"/>
      <c r="M1075" s="323"/>
      <c r="N1075" s="323"/>
      <c r="O1075" s="323"/>
      <c r="P1075" s="323"/>
      <c r="Q1075" s="323"/>
    </row>
    <row r="1076" spans="6:17">
      <c r="F1076" s="331"/>
      <c r="G1076" s="323"/>
      <c r="H1076" s="323"/>
      <c r="I1076" s="323"/>
      <c r="J1076" s="323"/>
      <c r="K1076" s="323"/>
      <c r="L1076" s="323"/>
      <c r="M1076" s="323"/>
      <c r="N1076" s="323"/>
      <c r="O1076" s="323"/>
      <c r="P1076" s="323"/>
      <c r="Q1076" s="323"/>
    </row>
    <row r="1077" spans="6:17">
      <c r="F1077" s="331"/>
      <c r="G1077" s="323"/>
      <c r="H1077" s="323"/>
      <c r="I1077" s="323"/>
      <c r="J1077" s="323"/>
      <c r="K1077" s="323"/>
      <c r="L1077" s="323"/>
      <c r="M1077" s="323"/>
      <c r="N1077" s="323"/>
      <c r="O1077" s="323"/>
      <c r="P1077" s="323"/>
      <c r="Q1077" s="323"/>
    </row>
    <row r="1078" spans="6:17">
      <c r="F1078" s="331"/>
      <c r="G1078" s="323"/>
      <c r="H1078" s="323"/>
      <c r="I1078" s="323"/>
      <c r="J1078" s="323"/>
      <c r="K1078" s="323"/>
      <c r="L1078" s="323"/>
      <c r="M1078" s="323"/>
      <c r="N1078" s="323"/>
      <c r="O1078" s="323"/>
      <c r="P1078" s="323"/>
      <c r="Q1078" s="323"/>
    </row>
    <row r="1079" spans="6:17">
      <c r="F1079" s="331"/>
      <c r="G1079" s="323"/>
      <c r="H1079" s="323"/>
      <c r="I1079" s="323"/>
      <c r="J1079" s="323"/>
      <c r="K1079" s="323"/>
      <c r="L1079" s="323"/>
      <c r="M1079" s="323"/>
      <c r="N1079" s="323"/>
      <c r="O1079" s="323"/>
      <c r="P1079" s="323"/>
      <c r="Q1079" s="323"/>
    </row>
    <row r="1080" spans="6:17">
      <c r="F1080" s="331"/>
      <c r="G1080" s="323"/>
      <c r="H1080" s="323"/>
      <c r="I1080" s="323"/>
      <c r="J1080" s="323"/>
      <c r="K1080" s="323"/>
      <c r="L1080" s="323"/>
      <c r="M1080" s="323"/>
      <c r="N1080" s="323"/>
      <c r="O1080" s="323"/>
      <c r="P1080" s="323"/>
      <c r="Q1080" s="323"/>
    </row>
    <row r="1081" spans="6:17">
      <c r="F1081" s="331"/>
      <c r="G1081" s="323"/>
      <c r="H1081" s="323"/>
      <c r="I1081" s="323"/>
      <c r="J1081" s="323"/>
      <c r="K1081" s="323"/>
      <c r="L1081" s="323"/>
      <c r="M1081" s="323"/>
      <c r="N1081" s="323"/>
      <c r="O1081" s="323"/>
      <c r="P1081" s="323"/>
      <c r="Q1081" s="323"/>
    </row>
    <row r="1082" spans="6:17">
      <c r="F1082" s="331"/>
      <c r="G1082" s="323"/>
      <c r="H1082" s="323"/>
      <c r="I1082" s="323"/>
      <c r="J1082" s="323"/>
      <c r="K1082" s="323"/>
      <c r="L1082" s="323"/>
      <c r="M1082" s="323"/>
      <c r="N1082" s="323"/>
      <c r="O1082" s="323"/>
      <c r="P1082" s="323"/>
      <c r="Q1082" s="323"/>
    </row>
    <row r="1083" spans="6:17">
      <c r="F1083" s="331"/>
      <c r="G1083" s="323"/>
      <c r="H1083" s="323"/>
      <c r="I1083" s="323"/>
      <c r="J1083" s="323"/>
      <c r="K1083" s="323"/>
      <c r="L1083" s="323"/>
      <c r="M1083" s="323"/>
      <c r="N1083" s="323"/>
      <c r="O1083" s="323"/>
      <c r="P1083" s="323"/>
      <c r="Q1083" s="323"/>
    </row>
    <row r="1084" spans="6:17">
      <c r="F1084" s="331"/>
      <c r="G1084" s="323"/>
      <c r="H1084" s="323"/>
      <c r="I1084" s="323"/>
      <c r="J1084" s="323"/>
      <c r="K1084" s="323"/>
      <c r="L1084" s="323"/>
      <c r="M1084" s="323"/>
      <c r="N1084" s="323"/>
      <c r="O1084" s="323"/>
      <c r="P1084" s="323"/>
      <c r="Q1084" s="323"/>
    </row>
    <row r="1085" spans="6:17">
      <c r="F1085" s="331"/>
      <c r="G1085" s="323"/>
      <c r="H1085" s="323"/>
      <c r="I1085" s="323"/>
      <c r="J1085" s="323"/>
      <c r="K1085" s="323"/>
      <c r="L1085" s="323"/>
      <c r="M1085" s="323"/>
      <c r="N1085" s="323"/>
      <c r="O1085" s="323"/>
      <c r="P1085" s="323"/>
      <c r="Q1085" s="323"/>
    </row>
    <row r="1086" spans="6:17">
      <c r="F1086" s="331"/>
      <c r="G1086" s="323"/>
      <c r="H1086" s="323"/>
      <c r="I1086" s="323"/>
      <c r="J1086" s="323"/>
      <c r="K1086" s="323"/>
      <c r="L1086" s="323"/>
      <c r="M1086" s="323"/>
      <c r="N1086" s="323"/>
      <c r="O1086" s="323"/>
      <c r="P1086" s="323"/>
      <c r="Q1086" s="323"/>
    </row>
    <row r="1087" spans="6:17">
      <c r="F1087" s="331"/>
      <c r="G1087" s="323"/>
      <c r="H1087" s="323"/>
      <c r="I1087" s="323"/>
      <c r="J1087" s="323"/>
      <c r="K1087" s="323"/>
      <c r="L1087" s="323"/>
      <c r="M1087" s="323"/>
      <c r="N1087" s="323"/>
      <c r="O1087" s="323"/>
      <c r="P1087" s="323"/>
      <c r="Q1087" s="323"/>
    </row>
    <row r="1088" spans="6:17">
      <c r="F1088" s="331"/>
      <c r="G1088" s="323"/>
      <c r="H1088" s="323"/>
      <c r="I1088" s="323"/>
      <c r="J1088" s="323"/>
      <c r="K1088" s="323"/>
      <c r="L1088" s="323"/>
      <c r="M1088" s="323"/>
      <c r="N1088" s="323"/>
      <c r="O1088" s="323"/>
      <c r="P1088" s="323"/>
      <c r="Q1088" s="323"/>
    </row>
    <row r="1089" spans="6:17">
      <c r="F1089" s="331"/>
      <c r="G1089" s="323"/>
      <c r="H1089" s="323"/>
      <c r="I1089" s="323"/>
      <c r="J1089" s="323"/>
      <c r="K1089" s="323"/>
      <c r="L1089" s="323"/>
      <c r="M1089" s="323"/>
      <c r="N1089" s="323"/>
      <c r="O1089" s="323"/>
      <c r="P1089" s="323"/>
      <c r="Q1089" s="323"/>
    </row>
    <row r="1090" spans="6:17">
      <c r="F1090" s="331"/>
      <c r="G1090" s="323"/>
      <c r="H1090" s="323"/>
      <c r="I1090" s="323"/>
      <c r="J1090" s="323"/>
      <c r="K1090" s="323"/>
      <c r="L1090" s="323"/>
      <c r="M1090" s="323"/>
      <c r="N1090" s="323"/>
      <c r="O1090" s="323"/>
      <c r="P1090" s="323"/>
      <c r="Q1090" s="323"/>
    </row>
    <row r="1091" spans="6:17">
      <c r="F1091" s="331"/>
      <c r="G1091" s="323"/>
      <c r="H1091" s="323"/>
      <c r="I1091" s="323"/>
      <c r="J1091" s="323"/>
      <c r="K1091" s="323"/>
      <c r="L1091" s="323"/>
      <c r="M1091" s="323"/>
      <c r="N1091" s="323"/>
      <c r="O1091" s="323"/>
      <c r="P1091" s="323"/>
      <c r="Q1091" s="323"/>
    </row>
    <row r="1092" spans="6:17">
      <c r="F1092" s="331"/>
      <c r="G1092" s="323"/>
      <c r="H1092" s="323"/>
      <c r="I1092" s="323"/>
      <c r="J1092" s="323"/>
      <c r="K1092" s="323"/>
      <c r="L1092" s="323"/>
      <c r="M1092" s="323"/>
      <c r="N1092" s="323"/>
      <c r="O1092" s="323"/>
      <c r="P1092" s="323"/>
      <c r="Q1092" s="323"/>
    </row>
    <row r="1093" spans="6:17">
      <c r="F1093" s="331"/>
      <c r="G1093" s="323"/>
      <c r="H1093" s="323"/>
      <c r="I1093" s="323"/>
      <c r="J1093" s="323"/>
      <c r="K1093" s="323"/>
      <c r="L1093" s="323"/>
      <c r="M1093" s="323"/>
      <c r="N1093" s="323"/>
      <c r="O1093" s="323"/>
      <c r="P1093" s="323"/>
      <c r="Q1093" s="323"/>
    </row>
    <row r="1094" spans="6:17">
      <c r="F1094" s="331"/>
      <c r="G1094" s="323"/>
      <c r="H1094" s="323"/>
      <c r="I1094" s="323"/>
      <c r="J1094" s="323"/>
      <c r="K1094" s="323"/>
      <c r="L1094" s="323"/>
      <c r="M1094" s="323"/>
      <c r="N1094" s="323"/>
      <c r="O1094" s="323"/>
      <c r="P1094" s="323"/>
      <c r="Q1094" s="323"/>
    </row>
    <row r="1095" spans="6:17">
      <c r="F1095" s="331"/>
      <c r="G1095" s="323"/>
      <c r="H1095" s="323"/>
      <c r="I1095" s="323"/>
      <c r="J1095" s="323"/>
      <c r="K1095" s="323"/>
      <c r="L1095" s="323"/>
      <c r="M1095" s="323"/>
      <c r="N1095" s="323"/>
      <c r="O1095" s="323"/>
      <c r="P1095" s="323"/>
      <c r="Q1095" s="323"/>
    </row>
    <row r="1096" spans="6:17">
      <c r="F1096" s="331"/>
      <c r="G1096" s="323"/>
      <c r="H1096" s="323"/>
      <c r="I1096" s="323"/>
      <c r="J1096" s="323"/>
      <c r="K1096" s="323"/>
      <c r="L1096" s="323"/>
      <c r="M1096" s="323"/>
      <c r="N1096" s="323"/>
      <c r="O1096" s="323"/>
      <c r="P1096" s="323"/>
      <c r="Q1096" s="323"/>
    </row>
    <row r="1097" spans="6:17">
      <c r="F1097" s="331"/>
      <c r="G1097" s="323"/>
      <c r="H1097" s="323"/>
      <c r="I1097" s="323"/>
      <c r="J1097" s="323"/>
      <c r="K1097" s="323"/>
      <c r="L1097" s="323"/>
      <c r="M1097" s="323"/>
      <c r="N1097" s="323"/>
      <c r="O1097" s="323"/>
      <c r="P1097" s="323"/>
      <c r="Q1097" s="323"/>
    </row>
    <row r="1098" spans="6:17">
      <c r="F1098" s="331"/>
      <c r="G1098" s="323"/>
      <c r="H1098" s="323"/>
      <c r="I1098" s="323"/>
      <c r="J1098" s="323"/>
      <c r="K1098" s="323"/>
      <c r="L1098" s="323"/>
      <c r="M1098" s="323"/>
      <c r="N1098" s="323"/>
      <c r="O1098" s="323"/>
      <c r="P1098" s="323"/>
      <c r="Q1098" s="323"/>
    </row>
    <row r="1099" spans="6:17">
      <c r="F1099" s="331"/>
      <c r="G1099" s="323"/>
      <c r="H1099" s="323"/>
      <c r="I1099" s="323"/>
      <c r="J1099" s="323"/>
      <c r="K1099" s="323"/>
      <c r="L1099" s="323"/>
      <c r="M1099" s="323"/>
      <c r="N1099" s="323"/>
      <c r="O1099" s="323"/>
      <c r="P1099" s="323"/>
      <c r="Q1099" s="323"/>
    </row>
    <row r="1100" spans="6:17">
      <c r="F1100" s="331"/>
      <c r="G1100" s="323"/>
      <c r="H1100" s="323"/>
      <c r="I1100" s="323"/>
      <c r="J1100" s="323"/>
      <c r="K1100" s="323"/>
      <c r="L1100" s="323"/>
      <c r="M1100" s="323"/>
      <c r="N1100" s="323"/>
      <c r="O1100" s="323"/>
      <c r="P1100" s="323"/>
      <c r="Q1100" s="323"/>
    </row>
    <row r="1101" spans="6:17">
      <c r="F1101" s="331"/>
      <c r="G1101" s="323"/>
      <c r="H1101" s="323"/>
      <c r="I1101" s="323"/>
      <c r="J1101" s="323"/>
      <c r="K1101" s="323"/>
      <c r="L1101" s="323"/>
      <c r="M1101" s="323"/>
      <c r="N1101" s="323"/>
      <c r="O1101" s="323"/>
      <c r="P1101" s="323"/>
      <c r="Q1101" s="323"/>
    </row>
    <row r="1102" spans="6:17">
      <c r="F1102" s="331"/>
      <c r="G1102" s="323"/>
      <c r="H1102" s="323"/>
      <c r="I1102" s="323"/>
      <c r="J1102" s="323"/>
      <c r="K1102" s="323"/>
      <c r="L1102" s="323"/>
      <c r="M1102" s="323"/>
      <c r="N1102" s="323"/>
      <c r="O1102" s="323"/>
      <c r="P1102" s="323"/>
      <c r="Q1102" s="323"/>
    </row>
    <row r="1103" spans="6:17">
      <c r="F1103" s="331"/>
      <c r="G1103" s="323"/>
      <c r="H1103" s="323"/>
      <c r="I1103" s="323"/>
      <c r="J1103" s="323"/>
      <c r="K1103" s="323"/>
      <c r="L1103" s="323"/>
      <c r="M1103" s="323"/>
      <c r="N1103" s="323"/>
      <c r="O1103" s="323"/>
      <c r="P1103" s="323"/>
      <c r="Q1103" s="323"/>
    </row>
    <row r="1104" spans="6:17">
      <c r="F1104" s="331"/>
      <c r="G1104" s="323"/>
      <c r="H1104" s="323"/>
      <c r="I1104" s="323"/>
      <c r="J1104" s="323"/>
      <c r="K1104" s="323"/>
      <c r="L1104" s="323"/>
      <c r="M1104" s="323"/>
      <c r="N1104" s="323"/>
      <c r="O1104" s="323"/>
      <c r="P1104" s="323"/>
      <c r="Q1104" s="323"/>
    </row>
    <row r="1105" spans="6:17">
      <c r="F1105" s="331"/>
      <c r="G1105" s="323"/>
      <c r="H1105" s="323"/>
      <c r="I1105" s="323"/>
      <c r="J1105" s="323"/>
      <c r="K1105" s="323"/>
      <c r="L1105" s="323"/>
      <c r="M1105" s="323"/>
      <c r="N1105" s="323"/>
      <c r="O1105" s="323"/>
      <c r="P1105" s="323"/>
      <c r="Q1105" s="323"/>
    </row>
    <row r="1106" spans="6:17">
      <c r="F1106" s="331"/>
      <c r="G1106" s="323"/>
      <c r="H1106" s="323"/>
      <c r="I1106" s="323"/>
      <c r="J1106" s="323"/>
      <c r="K1106" s="323"/>
      <c r="L1106" s="323"/>
      <c r="M1106" s="323"/>
      <c r="N1106" s="323"/>
      <c r="O1106" s="323"/>
      <c r="P1106" s="323"/>
      <c r="Q1106" s="323"/>
    </row>
    <row r="1107" spans="6:17">
      <c r="F1107" s="331"/>
      <c r="G1107" s="323"/>
      <c r="H1107" s="323"/>
      <c r="I1107" s="323"/>
      <c r="J1107" s="323"/>
      <c r="K1107" s="323"/>
      <c r="L1107" s="323"/>
      <c r="M1107" s="323"/>
      <c r="N1107" s="323"/>
      <c r="O1107" s="323"/>
      <c r="P1107" s="323"/>
      <c r="Q1107" s="323"/>
    </row>
    <row r="1108" spans="6:17">
      <c r="F1108" s="331"/>
      <c r="G1108" s="323"/>
      <c r="H1108" s="323"/>
      <c r="I1108" s="323"/>
      <c r="J1108" s="323"/>
      <c r="K1108" s="323"/>
      <c r="L1108" s="323"/>
      <c r="M1108" s="323"/>
      <c r="N1108" s="323"/>
      <c r="O1108" s="323"/>
      <c r="P1108" s="323"/>
      <c r="Q1108" s="323"/>
    </row>
    <row r="1109" spans="6:17">
      <c r="F1109" s="331"/>
      <c r="G1109" s="323"/>
      <c r="H1109" s="323"/>
      <c r="I1109" s="323"/>
      <c r="J1109" s="323"/>
      <c r="K1109" s="323"/>
      <c r="L1109" s="323"/>
      <c r="M1109" s="323"/>
      <c r="N1109" s="323"/>
      <c r="O1109" s="323"/>
      <c r="P1109" s="323"/>
      <c r="Q1109" s="323"/>
    </row>
    <row r="1110" spans="6:17">
      <c r="F1110" s="331"/>
      <c r="G1110" s="323"/>
      <c r="H1110" s="323"/>
      <c r="I1110" s="323"/>
      <c r="J1110" s="323"/>
      <c r="K1110" s="323"/>
      <c r="L1110" s="323"/>
      <c r="M1110" s="323"/>
      <c r="N1110" s="323"/>
      <c r="O1110" s="323"/>
      <c r="P1110" s="323"/>
      <c r="Q1110" s="323"/>
    </row>
    <row r="1111" spans="6:17">
      <c r="F1111" s="331"/>
      <c r="G1111" s="323"/>
      <c r="H1111" s="323"/>
      <c r="I1111" s="323"/>
      <c r="J1111" s="323"/>
      <c r="K1111" s="323"/>
      <c r="L1111" s="323"/>
      <c r="M1111" s="323"/>
      <c r="N1111" s="323"/>
      <c r="O1111" s="323"/>
      <c r="P1111" s="323"/>
      <c r="Q1111" s="323"/>
    </row>
    <row r="1112" spans="6:17">
      <c r="F1112" s="331"/>
      <c r="G1112" s="323"/>
      <c r="H1112" s="323"/>
      <c r="I1112" s="323"/>
      <c r="J1112" s="323"/>
      <c r="K1112" s="323"/>
      <c r="L1112" s="323"/>
      <c r="M1112" s="323"/>
      <c r="N1112" s="323"/>
      <c r="O1112" s="323"/>
      <c r="P1112" s="323"/>
      <c r="Q1112" s="323"/>
    </row>
    <row r="1113" spans="6:17">
      <c r="F1113" s="331"/>
      <c r="G1113" s="323"/>
      <c r="H1113" s="323"/>
      <c r="I1113" s="323"/>
      <c r="J1113" s="323"/>
      <c r="K1113" s="323"/>
      <c r="L1113" s="323"/>
      <c r="M1113" s="323"/>
      <c r="N1113" s="323"/>
      <c r="O1113" s="323"/>
      <c r="P1113" s="323"/>
      <c r="Q1113" s="323"/>
    </row>
    <row r="1114" spans="6:17">
      <c r="F1114" s="331"/>
      <c r="G1114" s="323"/>
      <c r="H1114" s="323"/>
      <c r="I1114" s="323"/>
      <c r="J1114" s="323"/>
      <c r="K1114" s="323"/>
      <c r="L1114" s="323"/>
      <c r="M1114" s="323"/>
      <c r="N1114" s="323"/>
      <c r="O1114" s="323"/>
      <c r="P1114" s="323"/>
      <c r="Q1114" s="323"/>
    </row>
    <row r="1115" spans="6:17">
      <c r="F1115" s="331"/>
      <c r="G1115" s="323"/>
      <c r="H1115" s="323"/>
      <c r="I1115" s="323"/>
      <c r="J1115" s="323"/>
      <c r="K1115" s="323"/>
      <c r="L1115" s="323"/>
      <c r="M1115" s="323"/>
      <c r="N1115" s="323"/>
      <c r="O1115" s="323"/>
      <c r="P1115" s="323"/>
      <c r="Q1115" s="323"/>
    </row>
    <row r="1116" spans="6:17">
      <c r="F1116" s="331"/>
      <c r="G1116" s="323"/>
      <c r="H1116" s="323"/>
      <c r="I1116" s="323"/>
      <c r="J1116" s="323"/>
      <c r="K1116" s="323"/>
      <c r="L1116" s="323"/>
      <c r="M1116" s="323"/>
      <c r="N1116" s="323"/>
      <c r="O1116" s="323"/>
      <c r="P1116" s="323"/>
      <c r="Q1116" s="323"/>
    </row>
    <row r="1117" spans="6:17">
      <c r="F1117" s="331"/>
      <c r="G1117" s="323"/>
      <c r="H1117" s="323"/>
      <c r="I1117" s="323"/>
      <c r="J1117" s="323"/>
      <c r="K1117" s="323"/>
      <c r="L1117" s="323"/>
      <c r="M1117" s="323"/>
      <c r="N1117" s="323"/>
      <c r="O1117" s="323"/>
      <c r="P1117" s="323"/>
      <c r="Q1117" s="323"/>
    </row>
    <row r="1118" spans="6:17">
      <c r="F1118" s="331"/>
      <c r="G1118" s="323"/>
      <c r="H1118" s="323"/>
      <c r="I1118" s="323"/>
      <c r="J1118" s="323"/>
      <c r="K1118" s="323"/>
      <c r="L1118" s="323"/>
      <c r="M1118" s="323"/>
      <c r="N1118" s="323"/>
      <c r="O1118" s="323"/>
      <c r="P1118" s="323"/>
      <c r="Q1118" s="323"/>
    </row>
    <row r="1119" spans="6:17">
      <c r="F1119" s="331"/>
      <c r="G1119" s="323"/>
      <c r="H1119" s="323"/>
      <c r="I1119" s="323"/>
      <c r="J1119" s="323"/>
      <c r="K1119" s="323"/>
      <c r="L1119" s="323"/>
      <c r="M1119" s="323"/>
      <c r="N1119" s="323"/>
      <c r="O1119" s="323"/>
      <c r="P1119" s="323"/>
      <c r="Q1119" s="323"/>
    </row>
    <row r="1120" spans="6:17">
      <c r="F1120" s="331"/>
      <c r="G1120" s="323"/>
      <c r="H1120" s="323"/>
      <c r="I1120" s="323"/>
      <c r="J1120" s="323"/>
      <c r="K1120" s="323"/>
      <c r="L1120" s="323"/>
      <c r="M1120" s="323"/>
      <c r="N1120" s="323"/>
      <c r="O1120" s="323"/>
      <c r="P1120" s="323"/>
      <c r="Q1120" s="323"/>
    </row>
    <row r="1121" spans="6:17">
      <c r="F1121" s="331"/>
      <c r="G1121" s="323"/>
      <c r="H1121" s="323"/>
      <c r="I1121" s="323"/>
      <c r="J1121" s="323"/>
      <c r="K1121" s="323"/>
      <c r="L1121" s="323"/>
      <c r="M1121" s="323"/>
      <c r="N1121" s="323"/>
      <c r="O1121" s="323"/>
      <c r="P1121" s="323"/>
      <c r="Q1121" s="323"/>
    </row>
    <row r="1122" spans="6:17">
      <c r="F1122" s="331"/>
      <c r="G1122" s="323"/>
      <c r="H1122" s="323"/>
      <c r="I1122" s="323"/>
      <c r="J1122" s="323"/>
      <c r="K1122" s="323"/>
      <c r="L1122" s="323"/>
      <c r="M1122" s="323"/>
      <c r="N1122" s="323"/>
      <c r="O1122" s="323"/>
      <c r="P1122" s="323"/>
      <c r="Q1122" s="323"/>
    </row>
    <row r="1123" spans="6:17">
      <c r="F1123" s="331"/>
      <c r="G1123" s="323"/>
      <c r="H1123" s="323"/>
      <c r="I1123" s="323"/>
      <c r="J1123" s="323"/>
      <c r="K1123" s="323"/>
      <c r="L1123" s="323"/>
      <c r="M1123" s="323"/>
      <c r="N1123" s="323"/>
      <c r="O1123" s="323"/>
      <c r="P1123" s="323"/>
      <c r="Q1123" s="323"/>
    </row>
    <row r="1124" spans="6:17">
      <c r="F1124" s="331"/>
      <c r="G1124" s="323"/>
      <c r="H1124" s="323"/>
      <c r="I1124" s="323"/>
      <c r="J1124" s="323"/>
      <c r="K1124" s="323"/>
      <c r="L1124" s="323"/>
      <c r="M1124" s="323"/>
      <c r="N1124" s="323"/>
      <c r="O1124" s="323"/>
      <c r="P1124" s="323"/>
      <c r="Q1124" s="323"/>
    </row>
    <row r="1125" spans="6:17">
      <c r="F1125" s="331"/>
      <c r="G1125" s="323"/>
      <c r="H1125" s="323"/>
      <c r="I1125" s="323"/>
      <c r="J1125" s="323"/>
      <c r="K1125" s="323"/>
      <c r="L1125" s="323"/>
      <c r="M1125" s="323"/>
      <c r="N1125" s="323"/>
      <c r="O1125" s="323"/>
      <c r="P1125" s="323"/>
      <c r="Q1125" s="323"/>
    </row>
    <row r="1126" spans="6:17">
      <c r="F1126" s="331"/>
      <c r="G1126" s="323"/>
      <c r="H1126" s="323"/>
      <c r="I1126" s="323"/>
      <c r="J1126" s="323"/>
      <c r="K1126" s="323"/>
      <c r="L1126" s="323"/>
      <c r="M1126" s="323"/>
      <c r="N1126" s="323"/>
      <c r="O1126" s="323"/>
      <c r="P1126" s="323"/>
      <c r="Q1126" s="323"/>
    </row>
    <row r="1127" spans="6:17">
      <c r="F1127" s="331"/>
      <c r="G1127" s="323"/>
      <c r="H1127" s="323"/>
      <c r="I1127" s="323"/>
      <c r="J1127" s="323"/>
      <c r="K1127" s="323"/>
      <c r="L1127" s="323"/>
      <c r="M1127" s="323"/>
      <c r="N1127" s="323"/>
      <c r="O1127" s="323"/>
      <c r="P1127" s="323"/>
      <c r="Q1127" s="323"/>
    </row>
    <row r="1128" spans="6:17">
      <c r="F1128" s="331"/>
      <c r="G1128" s="323"/>
      <c r="H1128" s="323"/>
      <c r="I1128" s="323"/>
      <c r="J1128" s="323"/>
      <c r="K1128" s="323"/>
      <c r="L1128" s="323"/>
      <c r="M1128" s="323"/>
      <c r="N1128" s="323"/>
      <c r="O1128" s="323"/>
      <c r="P1128" s="323"/>
      <c r="Q1128" s="323"/>
    </row>
    <row r="1129" spans="6:17">
      <c r="F1129" s="331"/>
      <c r="G1129" s="323"/>
      <c r="H1129" s="323"/>
      <c r="I1129" s="323"/>
      <c r="J1129" s="323"/>
      <c r="K1129" s="323"/>
      <c r="L1129" s="323"/>
      <c r="M1129" s="323"/>
      <c r="N1129" s="323"/>
      <c r="O1129" s="323"/>
      <c r="P1129" s="323"/>
      <c r="Q1129" s="323"/>
    </row>
    <row r="1130" spans="6:17">
      <c r="F1130" s="331"/>
      <c r="G1130" s="323"/>
      <c r="H1130" s="323"/>
      <c r="I1130" s="323"/>
      <c r="J1130" s="323"/>
      <c r="K1130" s="323"/>
      <c r="L1130" s="323"/>
      <c r="M1130" s="323"/>
      <c r="N1130" s="323"/>
      <c r="O1130" s="323"/>
      <c r="P1130" s="323"/>
      <c r="Q1130" s="323"/>
    </row>
    <row r="1131" spans="6:17">
      <c r="F1131" s="331"/>
      <c r="G1131" s="323"/>
      <c r="H1131" s="323"/>
      <c r="I1131" s="323"/>
      <c r="J1131" s="323"/>
      <c r="K1131" s="323"/>
      <c r="L1131" s="323"/>
      <c r="M1131" s="323"/>
      <c r="N1131" s="323"/>
      <c r="O1131" s="323"/>
      <c r="P1131" s="323"/>
      <c r="Q1131" s="323"/>
    </row>
    <row r="1132" spans="6:17">
      <c r="F1132" s="331"/>
      <c r="G1132" s="323"/>
      <c r="H1132" s="323"/>
      <c r="I1132" s="323"/>
      <c r="J1132" s="323"/>
      <c r="K1132" s="323"/>
      <c r="L1132" s="323"/>
      <c r="M1132" s="323"/>
      <c r="N1132" s="323"/>
      <c r="O1132" s="323"/>
      <c r="P1132" s="323"/>
      <c r="Q1132" s="323"/>
    </row>
    <row r="1133" spans="6:17">
      <c r="F1133" s="331"/>
      <c r="G1133" s="323"/>
      <c r="H1133" s="323"/>
      <c r="I1133" s="323"/>
      <c r="J1133" s="323"/>
      <c r="K1133" s="323"/>
      <c r="L1133" s="323"/>
      <c r="M1133" s="323"/>
      <c r="N1133" s="323"/>
      <c r="O1133" s="323"/>
      <c r="P1133" s="323"/>
      <c r="Q1133" s="323"/>
    </row>
    <row r="1134" spans="6:17">
      <c r="F1134" s="331"/>
      <c r="G1134" s="323"/>
      <c r="H1134" s="323"/>
      <c r="I1134" s="323"/>
      <c r="J1134" s="323"/>
      <c r="K1134" s="323"/>
      <c r="L1134" s="323"/>
      <c r="M1134" s="323"/>
      <c r="N1134" s="323"/>
      <c r="O1134" s="323"/>
      <c r="P1134" s="323"/>
      <c r="Q1134" s="323"/>
    </row>
    <row r="1135" spans="6:17">
      <c r="F1135" s="331"/>
      <c r="G1135" s="323"/>
      <c r="H1135" s="323"/>
      <c r="I1135" s="323"/>
      <c r="J1135" s="323"/>
      <c r="K1135" s="323"/>
      <c r="L1135" s="323"/>
      <c r="M1135" s="323"/>
      <c r="N1135" s="323"/>
      <c r="O1135" s="323"/>
      <c r="P1135" s="323"/>
      <c r="Q1135" s="323"/>
    </row>
    <row r="1136" spans="6:17">
      <c r="F1136" s="331"/>
      <c r="G1136" s="323"/>
      <c r="H1136" s="323"/>
      <c r="I1136" s="323"/>
      <c r="J1136" s="323"/>
      <c r="K1136" s="323"/>
      <c r="L1136" s="323"/>
      <c r="M1136" s="323"/>
      <c r="N1136" s="323"/>
      <c r="O1136" s="323"/>
      <c r="P1136" s="323"/>
      <c r="Q1136" s="323"/>
    </row>
    <row r="1137" spans="6:17">
      <c r="F1137" s="331"/>
      <c r="G1137" s="323"/>
      <c r="H1137" s="323"/>
      <c r="I1137" s="323"/>
      <c r="J1137" s="323"/>
      <c r="K1137" s="323"/>
      <c r="L1137" s="323"/>
      <c r="M1137" s="323"/>
      <c r="N1137" s="323"/>
      <c r="O1137" s="323"/>
      <c r="P1137" s="323"/>
      <c r="Q1137" s="323"/>
    </row>
    <row r="1138" spans="6:17">
      <c r="F1138" s="331"/>
      <c r="G1138" s="323"/>
      <c r="H1138" s="323"/>
      <c r="I1138" s="323"/>
      <c r="J1138" s="323"/>
      <c r="K1138" s="323"/>
      <c r="L1138" s="323"/>
      <c r="M1138" s="323"/>
      <c r="N1138" s="323"/>
      <c r="O1138" s="323"/>
      <c r="P1138" s="323"/>
      <c r="Q1138" s="323"/>
    </row>
    <row r="1139" spans="6:17">
      <c r="F1139" s="331"/>
      <c r="G1139" s="323"/>
      <c r="H1139" s="323"/>
      <c r="I1139" s="323"/>
      <c r="J1139" s="323"/>
      <c r="K1139" s="323"/>
      <c r="L1139" s="323"/>
      <c r="M1139" s="323"/>
      <c r="N1139" s="323"/>
      <c r="O1139" s="323"/>
      <c r="P1139" s="323"/>
      <c r="Q1139" s="323"/>
    </row>
    <row r="1140" spans="6:17">
      <c r="F1140" s="331"/>
      <c r="G1140" s="323"/>
      <c r="H1140" s="323"/>
      <c r="I1140" s="323"/>
      <c r="J1140" s="323"/>
      <c r="K1140" s="323"/>
      <c r="L1140" s="323"/>
      <c r="M1140" s="323"/>
      <c r="N1140" s="323"/>
      <c r="O1140" s="323"/>
      <c r="P1140" s="323"/>
      <c r="Q1140" s="323"/>
    </row>
    <row r="1141" spans="6:17">
      <c r="F1141" s="331"/>
      <c r="G1141" s="323"/>
      <c r="H1141" s="323"/>
      <c r="I1141" s="323"/>
      <c r="J1141" s="323"/>
      <c r="K1141" s="323"/>
      <c r="L1141" s="323"/>
      <c r="M1141" s="323"/>
      <c r="N1141" s="323"/>
      <c r="O1141" s="323"/>
      <c r="P1141" s="323"/>
      <c r="Q1141" s="323"/>
    </row>
    <row r="1142" spans="6:17">
      <c r="F1142" s="331"/>
      <c r="G1142" s="323"/>
      <c r="H1142" s="323"/>
      <c r="I1142" s="323"/>
      <c r="J1142" s="323"/>
      <c r="K1142" s="323"/>
      <c r="L1142" s="323"/>
      <c r="M1142" s="323"/>
      <c r="N1142" s="323"/>
      <c r="O1142" s="323"/>
      <c r="P1142" s="323"/>
      <c r="Q1142" s="323"/>
    </row>
    <row r="1143" spans="6:17">
      <c r="F1143" s="331"/>
      <c r="G1143" s="323"/>
      <c r="H1143" s="323"/>
      <c r="I1143" s="323"/>
      <c r="J1143" s="323"/>
      <c r="K1143" s="323"/>
      <c r="L1143" s="323"/>
      <c r="M1143" s="323"/>
      <c r="N1143" s="323"/>
      <c r="O1143" s="323"/>
      <c r="P1143" s="323"/>
      <c r="Q1143" s="323"/>
    </row>
    <row r="1144" spans="6:17">
      <c r="F1144" s="331"/>
      <c r="G1144" s="323"/>
      <c r="H1144" s="323"/>
      <c r="I1144" s="323"/>
      <c r="J1144" s="323"/>
      <c r="K1144" s="323"/>
      <c r="L1144" s="323"/>
      <c r="M1144" s="323"/>
      <c r="N1144" s="323"/>
      <c r="O1144" s="323"/>
      <c r="P1144" s="323"/>
      <c r="Q1144" s="323"/>
    </row>
    <row r="1145" spans="6:17">
      <c r="F1145" s="331"/>
      <c r="G1145" s="323"/>
      <c r="H1145" s="323"/>
      <c r="I1145" s="323"/>
      <c r="J1145" s="323"/>
      <c r="K1145" s="323"/>
      <c r="L1145" s="323"/>
      <c r="M1145" s="323"/>
      <c r="N1145" s="323"/>
      <c r="O1145" s="323"/>
      <c r="P1145" s="323"/>
      <c r="Q1145" s="323"/>
    </row>
    <row r="1146" spans="6:17">
      <c r="F1146" s="331"/>
      <c r="G1146" s="323"/>
      <c r="H1146" s="323"/>
      <c r="I1146" s="323"/>
      <c r="J1146" s="323"/>
      <c r="K1146" s="323"/>
      <c r="L1146" s="323"/>
      <c r="M1146" s="323"/>
      <c r="N1146" s="323"/>
      <c r="O1146" s="323"/>
      <c r="P1146" s="323"/>
      <c r="Q1146" s="323"/>
    </row>
    <row r="1147" spans="6:17">
      <c r="F1147" s="331"/>
      <c r="G1147" s="323"/>
      <c r="H1147" s="323"/>
      <c r="I1147" s="323"/>
      <c r="J1147" s="323"/>
      <c r="K1147" s="323"/>
      <c r="L1147" s="323"/>
      <c r="M1147" s="323"/>
      <c r="N1147" s="323"/>
      <c r="O1147" s="323"/>
      <c r="P1147" s="323"/>
      <c r="Q1147" s="323"/>
    </row>
    <row r="1148" spans="6:17">
      <c r="F1148" s="331"/>
      <c r="G1148" s="323"/>
      <c r="H1148" s="323"/>
      <c r="I1148" s="323"/>
      <c r="J1148" s="323"/>
      <c r="K1148" s="323"/>
      <c r="L1148" s="323"/>
      <c r="M1148" s="323"/>
      <c r="N1148" s="323"/>
      <c r="O1148" s="323"/>
      <c r="P1148" s="323"/>
      <c r="Q1148" s="323"/>
    </row>
    <row r="1149" spans="6:17">
      <c r="F1149" s="331"/>
      <c r="G1149" s="323"/>
      <c r="H1149" s="323"/>
      <c r="I1149" s="323"/>
      <c r="J1149" s="323"/>
      <c r="K1149" s="323"/>
      <c r="L1149" s="323"/>
      <c r="M1149" s="323"/>
      <c r="N1149" s="323"/>
      <c r="O1149" s="323"/>
      <c r="P1149" s="323"/>
      <c r="Q1149" s="323"/>
    </row>
    <row r="1150" spans="6:17">
      <c r="F1150" s="331"/>
      <c r="G1150" s="323"/>
      <c r="H1150" s="323"/>
      <c r="I1150" s="323"/>
      <c r="J1150" s="323"/>
      <c r="K1150" s="323"/>
      <c r="L1150" s="323"/>
      <c r="M1150" s="323"/>
      <c r="N1150" s="323"/>
      <c r="O1150" s="323"/>
      <c r="P1150" s="323"/>
      <c r="Q1150" s="323"/>
    </row>
    <row r="1151" spans="6:17">
      <c r="F1151" s="331"/>
      <c r="G1151" s="323"/>
      <c r="H1151" s="323"/>
      <c r="I1151" s="323"/>
      <c r="J1151" s="323"/>
      <c r="K1151" s="323"/>
      <c r="L1151" s="323"/>
      <c r="M1151" s="323"/>
      <c r="N1151" s="323"/>
      <c r="O1151" s="323"/>
      <c r="P1151" s="323"/>
      <c r="Q1151" s="323"/>
    </row>
    <row r="1152" spans="6:17">
      <c r="F1152" s="331"/>
      <c r="G1152" s="323"/>
      <c r="H1152" s="323"/>
      <c r="I1152" s="323"/>
      <c r="J1152" s="323"/>
      <c r="K1152" s="323"/>
      <c r="L1152" s="323"/>
      <c r="M1152" s="323"/>
      <c r="N1152" s="323"/>
      <c r="O1152" s="323"/>
      <c r="P1152" s="323"/>
      <c r="Q1152" s="323"/>
    </row>
    <row r="1153" spans="6:17">
      <c r="F1153" s="331"/>
      <c r="G1153" s="323"/>
      <c r="H1153" s="323"/>
      <c r="I1153" s="323"/>
      <c r="J1153" s="323"/>
      <c r="K1153" s="323"/>
      <c r="L1153" s="323"/>
      <c r="M1153" s="323"/>
      <c r="N1153" s="323"/>
      <c r="O1153" s="323"/>
      <c r="P1153" s="323"/>
      <c r="Q1153" s="323"/>
    </row>
    <row r="1154" spans="6:17">
      <c r="F1154" s="331"/>
      <c r="G1154" s="323"/>
      <c r="H1154" s="323"/>
      <c r="I1154" s="323"/>
      <c r="J1154" s="323"/>
      <c r="K1154" s="323"/>
      <c r="L1154" s="323"/>
      <c r="M1154" s="323"/>
      <c r="N1154" s="323"/>
      <c r="O1154" s="323"/>
      <c r="P1154" s="323"/>
      <c r="Q1154" s="323"/>
    </row>
    <row r="1155" spans="6:17">
      <c r="F1155" s="331"/>
      <c r="G1155" s="323"/>
      <c r="H1155" s="323"/>
      <c r="I1155" s="323"/>
      <c r="J1155" s="323"/>
      <c r="K1155" s="323"/>
      <c r="L1155" s="323"/>
      <c r="M1155" s="323"/>
      <c r="N1155" s="323"/>
      <c r="O1155" s="323"/>
      <c r="P1155" s="323"/>
      <c r="Q1155" s="323"/>
    </row>
    <row r="1156" spans="6:17">
      <c r="F1156" s="331"/>
      <c r="G1156" s="323"/>
      <c r="H1156" s="323"/>
      <c r="I1156" s="323"/>
      <c r="J1156" s="323"/>
      <c r="K1156" s="323"/>
      <c r="L1156" s="323"/>
      <c r="M1156" s="323"/>
      <c r="N1156" s="323"/>
      <c r="O1156" s="323"/>
      <c r="P1156" s="323"/>
      <c r="Q1156" s="323"/>
    </row>
    <row r="1157" spans="6:17">
      <c r="F1157" s="331"/>
      <c r="G1157" s="323"/>
      <c r="H1157" s="323"/>
      <c r="I1157" s="323"/>
      <c r="J1157" s="323"/>
      <c r="K1157" s="323"/>
      <c r="L1157" s="323"/>
      <c r="M1157" s="323"/>
      <c r="N1157" s="323"/>
      <c r="O1157" s="323"/>
      <c r="P1157" s="323"/>
      <c r="Q1157" s="323"/>
    </row>
    <row r="1158" spans="6:17">
      <c r="F1158" s="331"/>
      <c r="G1158" s="323"/>
      <c r="H1158" s="323"/>
      <c r="I1158" s="323"/>
      <c r="J1158" s="323"/>
      <c r="K1158" s="323"/>
      <c r="L1158" s="323"/>
      <c r="M1158" s="323"/>
      <c r="N1158" s="323"/>
      <c r="O1158" s="323"/>
      <c r="P1158" s="323"/>
      <c r="Q1158" s="323"/>
    </row>
    <row r="1159" spans="6:17">
      <c r="F1159" s="331"/>
      <c r="G1159" s="323"/>
      <c r="H1159" s="323"/>
      <c r="I1159" s="323"/>
      <c r="J1159" s="323"/>
      <c r="K1159" s="323"/>
      <c r="L1159" s="323"/>
      <c r="M1159" s="323"/>
      <c r="N1159" s="323"/>
      <c r="O1159" s="323"/>
      <c r="P1159" s="323"/>
      <c r="Q1159" s="323"/>
    </row>
    <row r="1160" spans="6:17">
      <c r="F1160" s="331"/>
      <c r="G1160" s="323"/>
      <c r="H1160" s="323"/>
      <c r="I1160" s="323"/>
      <c r="J1160" s="323"/>
      <c r="K1160" s="323"/>
      <c r="L1160" s="323"/>
      <c r="M1160" s="323"/>
      <c r="N1160" s="323"/>
      <c r="O1160" s="323"/>
      <c r="P1160" s="323"/>
      <c r="Q1160" s="323"/>
    </row>
    <row r="1161" spans="6:17">
      <c r="F1161" s="331"/>
      <c r="G1161" s="323"/>
      <c r="H1161" s="323"/>
      <c r="I1161" s="323"/>
      <c r="J1161" s="323"/>
      <c r="K1161" s="323"/>
      <c r="L1161" s="323"/>
      <c r="M1161" s="323"/>
      <c r="N1161" s="323"/>
      <c r="O1161" s="323"/>
      <c r="P1161" s="323"/>
      <c r="Q1161" s="323"/>
    </row>
    <row r="1162" spans="6:17">
      <c r="F1162" s="331"/>
      <c r="G1162" s="323"/>
      <c r="H1162" s="323"/>
      <c r="I1162" s="323"/>
      <c r="J1162" s="323"/>
      <c r="K1162" s="323"/>
      <c r="L1162" s="323"/>
      <c r="M1162" s="323"/>
      <c r="N1162" s="323"/>
      <c r="O1162" s="323"/>
      <c r="P1162" s="323"/>
      <c r="Q1162" s="323"/>
    </row>
    <row r="1163" spans="6:17">
      <c r="F1163" s="331"/>
      <c r="G1163" s="323"/>
      <c r="H1163" s="323"/>
      <c r="I1163" s="323"/>
      <c r="J1163" s="323"/>
      <c r="K1163" s="323"/>
      <c r="L1163" s="323"/>
      <c r="M1163" s="323"/>
      <c r="N1163" s="323"/>
      <c r="O1163" s="323"/>
      <c r="P1163" s="323"/>
      <c r="Q1163" s="323"/>
    </row>
    <row r="1164" spans="6:17">
      <c r="F1164" s="331"/>
      <c r="G1164" s="323"/>
      <c r="H1164" s="323"/>
      <c r="I1164" s="323"/>
      <c r="J1164" s="323"/>
      <c r="K1164" s="323"/>
      <c r="L1164" s="323"/>
      <c r="M1164" s="323"/>
      <c r="N1164" s="323"/>
      <c r="O1164" s="323"/>
      <c r="P1164" s="323"/>
      <c r="Q1164" s="323"/>
    </row>
    <row r="1165" spans="6:17">
      <c r="F1165" s="331"/>
      <c r="G1165" s="323"/>
      <c r="H1165" s="323"/>
      <c r="I1165" s="323"/>
      <c r="J1165" s="323"/>
      <c r="K1165" s="323"/>
      <c r="L1165" s="323"/>
      <c r="M1165" s="323"/>
      <c r="N1165" s="323"/>
      <c r="O1165" s="323"/>
      <c r="P1165" s="323"/>
      <c r="Q1165" s="323"/>
    </row>
    <row r="1166" spans="6:17">
      <c r="F1166" s="331"/>
      <c r="G1166" s="323"/>
      <c r="H1166" s="323"/>
      <c r="I1166" s="323"/>
      <c r="J1166" s="323"/>
      <c r="K1166" s="323"/>
      <c r="L1166" s="323"/>
      <c r="M1166" s="323"/>
      <c r="N1166" s="323"/>
      <c r="O1166" s="323"/>
      <c r="P1166" s="323"/>
      <c r="Q1166" s="323"/>
    </row>
    <row r="1167" spans="6:17">
      <c r="F1167" s="331"/>
      <c r="G1167" s="323"/>
      <c r="H1167" s="323"/>
      <c r="I1167" s="323"/>
      <c r="J1167" s="323"/>
      <c r="K1167" s="323"/>
      <c r="L1167" s="323"/>
      <c r="M1167" s="323"/>
      <c r="N1167" s="323"/>
      <c r="O1167" s="323"/>
      <c r="P1167" s="323"/>
      <c r="Q1167" s="323"/>
    </row>
    <row r="1168" spans="6:17">
      <c r="F1168" s="331"/>
      <c r="G1168" s="323"/>
      <c r="H1168" s="323"/>
      <c r="I1168" s="323"/>
      <c r="J1168" s="323"/>
      <c r="K1168" s="323"/>
      <c r="L1168" s="323"/>
      <c r="M1168" s="323"/>
      <c r="N1168" s="323"/>
      <c r="O1168" s="323"/>
      <c r="P1168" s="323"/>
      <c r="Q1168" s="323"/>
    </row>
    <row r="1169" spans="6:17">
      <c r="F1169" s="331"/>
      <c r="G1169" s="323"/>
      <c r="H1169" s="323"/>
      <c r="I1169" s="323"/>
      <c r="J1169" s="323"/>
      <c r="K1169" s="323"/>
      <c r="L1169" s="323"/>
      <c r="M1169" s="323"/>
      <c r="N1169" s="323"/>
      <c r="O1169" s="323"/>
      <c r="P1169" s="323"/>
      <c r="Q1169" s="323"/>
    </row>
    <row r="1170" spans="6:17">
      <c r="F1170" s="331"/>
      <c r="G1170" s="323"/>
      <c r="H1170" s="323"/>
      <c r="I1170" s="323"/>
      <c r="J1170" s="323"/>
      <c r="K1170" s="323"/>
      <c r="L1170" s="323"/>
      <c r="M1170" s="323"/>
      <c r="N1170" s="323"/>
      <c r="O1170" s="323"/>
      <c r="P1170" s="323"/>
      <c r="Q1170" s="323"/>
    </row>
    <row r="1171" spans="6:17">
      <c r="F1171" s="331"/>
      <c r="G1171" s="323"/>
      <c r="H1171" s="323"/>
      <c r="I1171" s="323"/>
      <c r="J1171" s="323"/>
      <c r="K1171" s="323"/>
      <c r="L1171" s="323"/>
      <c r="M1171" s="323"/>
      <c r="N1171" s="323"/>
      <c r="O1171" s="323"/>
      <c r="P1171" s="323"/>
      <c r="Q1171" s="323"/>
    </row>
    <row r="1172" spans="6:17">
      <c r="F1172" s="331"/>
      <c r="G1172" s="323"/>
      <c r="H1172" s="323"/>
      <c r="I1172" s="323"/>
      <c r="J1172" s="323"/>
      <c r="K1172" s="323"/>
      <c r="L1172" s="323"/>
      <c r="M1172" s="323"/>
      <c r="N1172" s="323"/>
      <c r="O1172" s="323"/>
      <c r="P1172" s="323"/>
      <c r="Q1172" s="323"/>
    </row>
    <row r="1173" spans="6:17">
      <c r="F1173" s="331"/>
      <c r="G1173" s="323"/>
      <c r="H1173" s="323"/>
      <c r="I1173" s="323"/>
      <c r="J1173" s="323"/>
      <c r="K1173" s="323"/>
      <c r="L1173" s="323"/>
      <c r="M1173" s="323"/>
      <c r="N1173" s="323"/>
      <c r="O1173" s="323"/>
      <c r="P1173" s="323"/>
      <c r="Q1173" s="323"/>
    </row>
    <row r="1174" spans="6:17">
      <c r="F1174" s="331"/>
      <c r="G1174" s="323"/>
      <c r="H1174" s="323"/>
      <c r="I1174" s="323"/>
      <c r="J1174" s="323"/>
      <c r="K1174" s="323"/>
      <c r="L1174" s="323"/>
      <c r="M1174" s="323"/>
      <c r="N1174" s="323"/>
      <c r="O1174" s="323"/>
      <c r="P1174" s="323"/>
      <c r="Q1174" s="323"/>
    </row>
    <row r="1175" spans="6:17">
      <c r="F1175" s="331"/>
      <c r="G1175" s="323"/>
      <c r="H1175" s="323"/>
      <c r="I1175" s="323"/>
      <c r="J1175" s="323"/>
      <c r="K1175" s="323"/>
      <c r="L1175" s="323"/>
      <c r="M1175" s="323"/>
      <c r="N1175" s="323"/>
      <c r="O1175" s="323"/>
      <c r="P1175" s="323"/>
      <c r="Q1175" s="323"/>
    </row>
    <row r="1176" spans="6:17">
      <c r="F1176" s="331"/>
      <c r="G1176" s="323"/>
      <c r="H1176" s="323"/>
      <c r="I1176" s="323"/>
      <c r="J1176" s="323"/>
      <c r="K1176" s="323"/>
      <c r="L1176" s="323"/>
      <c r="M1176" s="323"/>
      <c r="N1176" s="323"/>
      <c r="O1176" s="323"/>
      <c r="P1176" s="323"/>
      <c r="Q1176" s="323"/>
    </row>
    <row r="1177" spans="6:17">
      <c r="F1177" s="331"/>
      <c r="G1177" s="323"/>
      <c r="H1177" s="323"/>
      <c r="I1177" s="323"/>
      <c r="J1177" s="323"/>
      <c r="K1177" s="323"/>
      <c r="L1177" s="323"/>
      <c r="M1177" s="323"/>
      <c r="N1177" s="323"/>
      <c r="O1177" s="323"/>
      <c r="P1177" s="323"/>
      <c r="Q1177" s="323"/>
    </row>
    <row r="1178" spans="6:17">
      <c r="F1178" s="331"/>
      <c r="G1178" s="323"/>
      <c r="H1178" s="323"/>
      <c r="I1178" s="323"/>
      <c r="J1178" s="323"/>
      <c r="K1178" s="323"/>
      <c r="L1178" s="323"/>
      <c r="M1178" s="323"/>
      <c r="N1178" s="323"/>
      <c r="O1178" s="323"/>
      <c r="P1178" s="323"/>
      <c r="Q1178" s="323"/>
    </row>
    <row r="1179" spans="6:17">
      <c r="F1179" s="331"/>
      <c r="G1179" s="323"/>
      <c r="H1179" s="323"/>
      <c r="I1179" s="323"/>
      <c r="J1179" s="323"/>
      <c r="K1179" s="323"/>
      <c r="L1179" s="323"/>
      <c r="M1179" s="323"/>
      <c r="N1179" s="323"/>
      <c r="O1179" s="323"/>
      <c r="P1179" s="323"/>
      <c r="Q1179" s="323"/>
    </row>
    <row r="1180" spans="6:17">
      <c r="F1180" s="331"/>
      <c r="G1180" s="323"/>
      <c r="H1180" s="323"/>
      <c r="I1180" s="323"/>
      <c r="J1180" s="323"/>
      <c r="K1180" s="323"/>
      <c r="L1180" s="323"/>
      <c r="M1180" s="323"/>
      <c r="N1180" s="323"/>
      <c r="O1180" s="323"/>
      <c r="P1180" s="323"/>
      <c r="Q1180" s="323"/>
    </row>
    <row r="1181" spans="6:17">
      <c r="F1181" s="331"/>
      <c r="G1181" s="323"/>
      <c r="H1181" s="323"/>
      <c r="I1181" s="323"/>
      <c r="J1181" s="323"/>
      <c r="K1181" s="323"/>
      <c r="L1181" s="323"/>
      <c r="M1181" s="323"/>
      <c r="N1181" s="323"/>
      <c r="O1181" s="323"/>
      <c r="P1181" s="323"/>
      <c r="Q1181" s="323"/>
    </row>
    <row r="1182" spans="6:17">
      <c r="F1182" s="331"/>
      <c r="G1182" s="323"/>
      <c r="H1182" s="323"/>
      <c r="I1182" s="323"/>
      <c r="J1182" s="323"/>
      <c r="K1182" s="323"/>
      <c r="L1182" s="323"/>
      <c r="M1182" s="323"/>
      <c r="N1182" s="323"/>
      <c r="O1182" s="323"/>
      <c r="P1182" s="323"/>
      <c r="Q1182" s="323"/>
    </row>
    <row r="1183" spans="6:17">
      <c r="F1183" s="331"/>
      <c r="G1183" s="323"/>
      <c r="H1183" s="323"/>
      <c r="I1183" s="323"/>
      <c r="J1183" s="323"/>
      <c r="K1183" s="323"/>
      <c r="L1183" s="323"/>
      <c r="M1183" s="323"/>
      <c r="N1183" s="323"/>
      <c r="O1183" s="323"/>
      <c r="P1183" s="323"/>
      <c r="Q1183" s="323"/>
    </row>
    <row r="1184" spans="6:17">
      <c r="F1184" s="331"/>
      <c r="G1184" s="323"/>
      <c r="H1184" s="323"/>
      <c r="I1184" s="323"/>
      <c r="J1184" s="323"/>
      <c r="K1184" s="323"/>
      <c r="L1184" s="323"/>
      <c r="M1184" s="323"/>
      <c r="N1184" s="323"/>
      <c r="O1184" s="323"/>
      <c r="P1184" s="323"/>
      <c r="Q1184" s="323"/>
    </row>
    <row r="1185" spans="6:17">
      <c r="F1185" s="331"/>
      <c r="G1185" s="323"/>
      <c r="H1185" s="323"/>
      <c r="I1185" s="323"/>
      <c r="J1185" s="323"/>
      <c r="K1185" s="323"/>
      <c r="L1185" s="323"/>
      <c r="M1185" s="323"/>
      <c r="N1185" s="323"/>
      <c r="O1185" s="323"/>
      <c r="P1185" s="323"/>
      <c r="Q1185" s="323"/>
    </row>
    <row r="1186" spans="6:17">
      <c r="F1186" s="331"/>
      <c r="G1186" s="323"/>
      <c r="H1186" s="323"/>
      <c r="I1186" s="323"/>
      <c r="J1186" s="323"/>
      <c r="K1186" s="323"/>
      <c r="L1186" s="323"/>
      <c r="M1186" s="323"/>
      <c r="N1186" s="323"/>
      <c r="O1186" s="323"/>
      <c r="P1186" s="323"/>
      <c r="Q1186" s="323"/>
    </row>
    <row r="1187" spans="6:17">
      <c r="F1187" s="331"/>
      <c r="G1187" s="323"/>
      <c r="H1187" s="323"/>
      <c r="I1187" s="323"/>
      <c r="J1187" s="323"/>
      <c r="K1187" s="323"/>
      <c r="L1187" s="323"/>
      <c r="M1187" s="323"/>
      <c r="N1187" s="323"/>
      <c r="O1187" s="323"/>
      <c r="P1187" s="323"/>
      <c r="Q1187" s="323"/>
    </row>
    <row r="1188" spans="6:17">
      <c r="F1188" s="331"/>
      <c r="G1188" s="323"/>
      <c r="H1188" s="323"/>
      <c r="I1188" s="323"/>
      <c r="J1188" s="323"/>
      <c r="K1188" s="323"/>
      <c r="L1188" s="323"/>
      <c r="M1188" s="323"/>
      <c r="N1188" s="323"/>
      <c r="O1188" s="323"/>
      <c r="P1188" s="323"/>
      <c r="Q1188" s="323"/>
    </row>
    <row r="1189" spans="6:17">
      <c r="F1189" s="331"/>
      <c r="G1189" s="323"/>
      <c r="H1189" s="323"/>
      <c r="I1189" s="323"/>
      <c r="J1189" s="323"/>
      <c r="K1189" s="323"/>
      <c r="L1189" s="323"/>
      <c r="M1189" s="323"/>
      <c r="N1189" s="323"/>
      <c r="O1189" s="323"/>
      <c r="P1189" s="323"/>
      <c r="Q1189" s="323"/>
    </row>
    <row r="1190" spans="6:17">
      <c r="F1190" s="331"/>
      <c r="G1190" s="323"/>
      <c r="H1190" s="323"/>
      <c r="I1190" s="323"/>
      <c r="J1190" s="323"/>
      <c r="K1190" s="323"/>
      <c r="L1190" s="323"/>
      <c r="M1190" s="323"/>
      <c r="N1190" s="323"/>
      <c r="O1190" s="323"/>
      <c r="P1190" s="323"/>
      <c r="Q1190" s="323"/>
    </row>
    <row r="1191" spans="6:17">
      <c r="F1191" s="331"/>
      <c r="G1191" s="323"/>
      <c r="H1191" s="323"/>
      <c r="I1191" s="323"/>
      <c r="J1191" s="323"/>
      <c r="K1191" s="323"/>
      <c r="L1191" s="323"/>
      <c r="M1191" s="323"/>
      <c r="N1191" s="323"/>
      <c r="O1191" s="323"/>
      <c r="P1191" s="323"/>
      <c r="Q1191" s="323"/>
    </row>
    <row r="1192" spans="6:17">
      <c r="F1192" s="331"/>
      <c r="G1192" s="323"/>
      <c r="H1192" s="323"/>
      <c r="I1192" s="323"/>
      <c r="J1192" s="323"/>
      <c r="K1192" s="323"/>
      <c r="L1192" s="323"/>
      <c r="M1192" s="323"/>
      <c r="N1192" s="323"/>
      <c r="O1192" s="323"/>
      <c r="P1192" s="323"/>
      <c r="Q1192" s="323"/>
    </row>
    <row r="1193" spans="6:17">
      <c r="F1193" s="331"/>
      <c r="G1193" s="323"/>
      <c r="H1193" s="323"/>
      <c r="I1193" s="323"/>
      <c r="J1193" s="323"/>
      <c r="K1193" s="323"/>
      <c r="L1193" s="323"/>
      <c r="M1193" s="323"/>
      <c r="N1193" s="323"/>
      <c r="O1193" s="323"/>
      <c r="P1193" s="323"/>
      <c r="Q1193" s="323"/>
    </row>
    <row r="1194" spans="6:17">
      <c r="F1194" s="331"/>
      <c r="G1194" s="323"/>
      <c r="H1194" s="323"/>
      <c r="I1194" s="323"/>
      <c r="J1194" s="323"/>
      <c r="K1194" s="323"/>
      <c r="L1194" s="323"/>
      <c r="M1194" s="323"/>
      <c r="N1194" s="323"/>
      <c r="O1194" s="323"/>
      <c r="P1194" s="323"/>
      <c r="Q1194" s="323"/>
    </row>
    <row r="1195" spans="6:17">
      <c r="F1195" s="331"/>
      <c r="G1195" s="323"/>
      <c r="H1195" s="323"/>
      <c r="I1195" s="323"/>
      <c r="J1195" s="323"/>
      <c r="K1195" s="323"/>
      <c r="L1195" s="323"/>
      <c r="M1195" s="323"/>
      <c r="N1195" s="323"/>
      <c r="O1195" s="323"/>
      <c r="P1195" s="323"/>
      <c r="Q1195" s="323"/>
    </row>
    <row r="1196" spans="6:17">
      <c r="F1196" s="331"/>
      <c r="G1196" s="323"/>
      <c r="H1196" s="323"/>
      <c r="I1196" s="323"/>
      <c r="J1196" s="323"/>
      <c r="K1196" s="323"/>
      <c r="L1196" s="323"/>
      <c r="M1196" s="323"/>
      <c r="N1196" s="323"/>
      <c r="O1196" s="323"/>
      <c r="P1196" s="323"/>
      <c r="Q1196" s="323"/>
    </row>
    <row r="1197" spans="6:17">
      <c r="F1197" s="331"/>
      <c r="G1197" s="323"/>
      <c r="H1197" s="323"/>
      <c r="I1197" s="323"/>
      <c r="J1197" s="323"/>
      <c r="K1197" s="323"/>
      <c r="L1197" s="323"/>
      <c r="M1197" s="323"/>
      <c r="N1197" s="323"/>
      <c r="O1197" s="323"/>
      <c r="P1197" s="323"/>
      <c r="Q1197" s="323"/>
    </row>
    <row r="1198" spans="6:17">
      <c r="F1198" s="331"/>
      <c r="G1198" s="323"/>
      <c r="H1198" s="323"/>
      <c r="I1198" s="323"/>
      <c r="J1198" s="323"/>
      <c r="K1198" s="323"/>
      <c r="L1198" s="323"/>
      <c r="M1198" s="323"/>
      <c r="N1198" s="323"/>
      <c r="O1198" s="323"/>
      <c r="P1198" s="323"/>
      <c r="Q1198" s="323"/>
    </row>
    <row r="1199" spans="6:17">
      <c r="F1199" s="331"/>
      <c r="G1199" s="323"/>
      <c r="H1199" s="323"/>
      <c r="I1199" s="323"/>
      <c r="J1199" s="323"/>
      <c r="K1199" s="323"/>
      <c r="L1199" s="323"/>
      <c r="M1199" s="323"/>
      <c r="N1199" s="323"/>
      <c r="O1199" s="323"/>
      <c r="P1199" s="323"/>
      <c r="Q1199" s="323"/>
    </row>
    <row r="1200" spans="6:17">
      <c r="F1200" s="331"/>
      <c r="G1200" s="323"/>
      <c r="H1200" s="323"/>
      <c r="I1200" s="323"/>
      <c r="J1200" s="323"/>
      <c r="K1200" s="323"/>
      <c r="L1200" s="323"/>
      <c r="M1200" s="323"/>
      <c r="N1200" s="323"/>
      <c r="O1200" s="323"/>
      <c r="P1200" s="323"/>
      <c r="Q1200" s="323"/>
    </row>
    <row r="1201" spans="6:17">
      <c r="F1201" s="331"/>
      <c r="G1201" s="323"/>
      <c r="H1201" s="323"/>
      <c r="I1201" s="323"/>
      <c r="J1201" s="323"/>
      <c r="K1201" s="323"/>
      <c r="L1201" s="323"/>
      <c r="M1201" s="323"/>
      <c r="N1201" s="323"/>
      <c r="O1201" s="323"/>
      <c r="P1201" s="323"/>
      <c r="Q1201" s="323"/>
    </row>
    <row r="1202" spans="6:17">
      <c r="F1202" s="331"/>
      <c r="G1202" s="323"/>
      <c r="H1202" s="323"/>
      <c r="I1202" s="323"/>
      <c r="J1202" s="323"/>
      <c r="K1202" s="323"/>
      <c r="L1202" s="323"/>
      <c r="M1202" s="323"/>
      <c r="N1202" s="323"/>
      <c r="O1202" s="323"/>
      <c r="P1202" s="323"/>
      <c r="Q1202" s="323"/>
    </row>
    <row r="1203" spans="6:17">
      <c r="F1203" s="331"/>
      <c r="G1203" s="323"/>
      <c r="H1203" s="323"/>
      <c r="I1203" s="323"/>
      <c r="J1203" s="323"/>
      <c r="K1203" s="323"/>
      <c r="L1203" s="323"/>
      <c r="M1203" s="323"/>
      <c r="N1203" s="323"/>
      <c r="O1203" s="323"/>
      <c r="P1203" s="323"/>
      <c r="Q1203" s="323"/>
    </row>
    <row r="1204" spans="6:17">
      <c r="F1204" s="331"/>
      <c r="G1204" s="323"/>
      <c r="H1204" s="323"/>
      <c r="I1204" s="323"/>
      <c r="J1204" s="323"/>
      <c r="K1204" s="323"/>
      <c r="L1204" s="323"/>
      <c r="M1204" s="323"/>
      <c r="N1204" s="323"/>
      <c r="O1204" s="323"/>
      <c r="P1204" s="323"/>
      <c r="Q1204" s="323"/>
    </row>
  </sheetData>
  <sheetProtection algorithmName="SHA-512" hashValue="GtmdxxUZNL/sRHDVrVofQhLJpa8D2AbycLq0ZnnhGeMArcR4Njv0hQ+VhNBRFXwepfR3vXOn66TXvzsGIcpU5g==" saltValue="BJJwMwXXLjwDqUl5iJS99A=="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1" max="5" man="1"/>
  </rowBreaks>
  <ignoredErrors>
    <ignoredError sqref="C115:C121 C108:C112 C71:C102 C10:C58 C63:C69" numberStoredAsText="1"/>
    <ignoredError sqref="F125:F136 F115:F118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9" tint="0.59999389629810485"/>
    <pageSetUpPr fitToPage="1"/>
  </sheetPr>
  <dimension ref="B1:P92"/>
  <sheetViews>
    <sheetView showGridLines="0" zoomScale="70" zoomScaleNormal="70" zoomScaleSheetLayoutView="90" zoomScalePageLayoutView="70" workbookViewId="0">
      <selection activeCell="H57" sqref="H57"/>
    </sheetView>
  </sheetViews>
  <sheetFormatPr defaultColWidth="9.140625" defaultRowHeight="15.75"/>
  <cols>
    <col min="1" max="1" width="5.28515625" style="354" customWidth="1"/>
    <col min="2" max="2" width="84.42578125" style="354" customWidth="1"/>
    <col min="3" max="3" width="14.85546875" style="354" customWidth="1"/>
    <col min="4" max="4" width="14" style="354" customWidth="1"/>
    <col min="5" max="5" width="15.42578125" style="354" customWidth="1"/>
    <col min="6" max="6" width="9.140625" style="354"/>
    <col min="7" max="7" width="10.85546875" style="354" customWidth="1"/>
    <col min="8" max="16384" width="9.140625" style="354"/>
  </cols>
  <sheetData>
    <row r="1" spans="2:7" ht="26.25">
      <c r="B1" s="1075" t="s">
        <v>11</v>
      </c>
      <c r="C1" s="1075"/>
      <c r="D1" s="1075"/>
      <c r="E1" s="1075"/>
      <c r="F1" s="353"/>
      <c r="G1" s="353"/>
    </row>
    <row r="2" spans="2:7" ht="26.25">
      <c r="B2" s="1075" t="s">
        <v>775</v>
      </c>
      <c r="C2" s="1075"/>
      <c r="D2" s="1075"/>
      <c r="E2" s="1075"/>
      <c r="F2" s="353"/>
      <c r="G2" s="353"/>
    </row>
    <row r="3" spans="2:7" ht="21">
      <c r="B3" s="1061"/>
      <c r="C3" s="1061"/>
      <c r="D3" s="1061"/>
      <c r="E3" s="1061"/>
      <c r="F3" s="353"/>
      <c r="G3" s="353"/>
    </row>
    <row r="4" spans="2:7" ht="21.75" thickBot="1">
      <c r="B4" s="1191"/>
      <c r="C4" s="1191"/>
      <c r="D4" s="1191"/>
      <c r="E4" s="1191"/>
      <c r="F4" s="353"/>
      <c r="G4" s="353"/>
    </row>
    <row r="5" spans="2:7" ht="48" customHeight="1">
      <c r="B5" s="1054" t="s">
        <v>674</v>
      </c>
      <c r="C5" s="1171" t="s">
        <v>675</v>
      </c>
      <c r="D5" s="1172"/>
      <c r="E5" s="1173"/>
    </row>
    <row r="6" spans="2:7">
      <c r="B6" s="1055"/>
      <c r="C6" s="1041" t="s">
        <v>676</v>
      </c>
      <c r="D6" s="900" t="s">
        <v>677</v>
      </c>
      <c r="E6" s="901" t="s">
        <v>678</v>
      </c>
    </row>
    <row r="7" spans="2:7" ht="29.25" customHeight="1">
      <c r="B7" s="1056"/>
      <c r="C7" s="1042"/>
      <c r="D7" s="902">
        <v>-0.1</v>
      </c>
      <c r="E7" s="903">
        <v>0.15</v>
      </c>
    </row>
    <row r="8" spans="2:7" ht="15" customHeight="1">
      <c r="B8" s="904" t="s">
        <v>214</v>
      </c>
      <c r="C8" s="905">
        <v>71.975999999999999</v>
      </c>
      <c r="D8" s="905">
        <v>64.78</v>
      </c>
      <c r="E8" s="906">
        <v>82.78</v>
      </c>
    </row>
    <row r="9" spans="2:7" ht="15" customHeight="1">
      <c r="B9" s="907" t="s">
        <v>679</v>
      </c>
      <c r="C9" s="908">
        <v>3.6</v>
      </c>
      <c r="D9" s="908">
        <v>3.24</v>
      </c>
      <c r="E9" s="909">
        <v>4.1399999999999997</v>
      </c>
    </row>
    <row r="10" spans="2:7" ht="15" customHeight="1">
      <c r="B10" s="907" t="s">
        <v>680</v>
      </c>
      <c r="C10" s="908">
        <v>3.6</v>
      </c>
      <c r="D10" s="908">
        <v>3.24</v>
      </c>
      <c r="E10" s="909">
        <v>4.1399999999999997</v>
      </c>
    </row>
    <row r="11" spans="2:7" ht="15" customHeight="1">
      <c r="B11" s="910" t="s">
        <v>681</v>
      </c>
      <c r="C11" s="908">
        <v>7.2</v>
      </c>
      <c r="D11" s="908">
        <v>6.48</v>
      </c>
      <c r="E11" s="909">
        <v>8.2799999999999994</v>
      </c>
      <c r="F11" s="667"/>
    </row>
    <row r="12" spans="2:7" ht="15" customHeight="1">
      <c r="B12" s="911" t="s">
        <v>682</v>
      </c>
      <c r="C12" s="912"/>
      <c r="D12" s="912"/>
      <c r="E12" s="913"/>
    </row>
    <row r="13" spans="2:7" ht="42.6" customHeight="1">
      <c r="B13" s="1057" t="s">
        <v>683</v>
      </c>
      <c r="C13" s="1168" t="s">
        <v>675</v>
      </c>
      <c r="D13" s="1169"/>
      <c r="E13" s="1170"/>
    </row>
    <row r="14" spans="2:7">
      <c r="B14" s="1055"/>
      <c r="C14" s="1041" t="s">
        <v>676</v>
      </c>
      <c r="D14" s="914" t="s">
        <v>677</v>
      </c>
      <c r="E14" s="915" t="s">
        <v>678</v>
      </c>
    </row>
    <row r="15" spans="2:7">
      <c r="B15" s="1056"/>
      <c r="C15" s="1042"/>
      <c r="D15" s="902">
        <f>D7</f>
        <v>-0.1</v>
      </c>
      <c r="E15" s="903">
        <f>E7</f>
        <v>0.15</v>
      </c>
    </row>
    <row r="16" spans="2:7" ht="15" customHeight="1">
      <c r="B16" s="916" t="s">
        <v>214</v>
      </c>
      <c r="C16" s="908">
        <v>71.975999999999999</v>
      </c>
      <c r="D16" s="908">
        <v>64.78</v>
      </c>
      <c r="E16" s="909">
        <v>82.78</v>
      </c>
    </row>
    <row r="17" spans="2:5" ht="15" customHeight="1">
      <c r="B17" s="916" t="s">
        <v>684</v>
      </c>
      <c r="C17" s="908">
        <v>215.93799999999999</v>
      </c>
      <c r="D17" s="908">
        <v>194.35</v>
      </c>
      <c r="E17" s="909">
        <v>248.33</v>
      </c>
    </row>
    <row r="18" spans="2:5" ht="15" customHeight="1">
      <c r="B18" s="911" t="s">
        <v>685</v>
      </c>
      <c r="C18" s="908">
        <v>14.4</v>
      </c>
      <c r="D18" s="908">
        <v>12.96</v>
      </c>
      <c r="E18" s="909">
        <v>16.559999999999999</v>
      </c>
    </row>
    <row r="19" spans="2:5" ht="15" customHeight="1">
      <c r="B19" s="911" t="s">
        <v>686</v>
      </c>
      <c r="C19" s="908">
        <v>14.4</v>
      </c>
      <c r="D19" s="908">
        <v>12.96</v>
      </c>
      <c r="E19" s="909">
        <v>16.559999999999999</v>
      </c>
    </row>
    <row r="20" spans="2:5" ht="15" customHeight="1">
      <c r="B20" s="917" t="s">
        <v>687</v>
      </c>
      <c r="C20" s="908">
        <v>7.2</v>
      </c>
      <c r="D20" s="908">
        <v>6.48</v>
      </c>
      <c r="E20" s="909">
        <v>8.2799999999999994</v>
      </c>
    </row>
    <row r="21" spans="2:5" ht="15" customHeight="1" thickBot="1">
      <c r="B21" s="918" t="s">
        <v>688</v>
      </c>
      <c r="C21" s="919">
        <v>57.58</v>
      </c>
      <c r="D21" s="919">
        <v>51.83</v>
      </c>
      <c r="E21" s="920">
        <v>66.22</v>
      </c>
    </row>
    <row r="22" spans="2:5" ht="16.5" thickBot="1">
      <c r="B22" s="355"/>
      <c r="C22" s="356"/>
      <c r="D22" s="356"/>
      <c r="E22" s="356"/>
    </row>
    <row r="23" spans="2:5" ht="34.35" customHeight="1">
      <c r="B23" s="1058" t="s">
        <v>689</v>
      </c>
      <c r="C23" s="1174" t="s">
        <v>675</v>
      </c>
      <c r="D23" s="1175"/>
      <c r="E23" s="1176"/>
    </row>
    <row r="24" spans="2:5">
      <c r="B24" s="1059"/>
      <c r="C24" s="1041" t="s">
        <v>676</v>
      </c>
      <c r="D24" s="900" t="s">
        <v>677</v>
      </c>
      <c r="E24" s="921" t="s">
        <v>678</v>
      </c>
    </row>
    <row r="25" spans="2:5">
      <c r="B25" s="1060"/>
      <c r="C25" s="1042"/>
      <c r="D25" s="902">
        <v>0</v>
      </c>
      <c r="E25" s="922">
        <v>0</v>
      </c>
    </row>
    <row r="26" spans="2:5" ht="15" customHeight="1">
      <c r="B26" s="923" t="s">
        <v>214</v>
      </c>
      <c r="C26" s="908">
        <v>91.79</v>
      </c>
      <c r="D26" s="908">
        <f>ROUND(C26*(1+D25),2)</f>
        <v>91.79</v>
      </c>
      <c r="E26" s="924">
        <f>ROUND(C26*(1+E25),2)</f>
        <v>91.79</v>
      </c>
    </row>
    <row r="27" spans="2:5" ht="15" customHeight="1">
      <c r="B27" s="925" t="s">
        <v>679</v>
      </c>
      <c r="C27" s="908">
        <v>4.59</v>
      </c>
      <c r="D27" s="908">
        <v>4.59</v>
      </c>
      <c r="E27" s="924">
        <v>4.59</v>
      </c>
    </row>
    <row r="28" spans="2:5" ht="15" customHeight="1">
      <c r="B28" s="925" t="s">
        <v>680</v>
      </c>
      <c r="C28" s="908">
        <v>4.59</v>
      </c>
      <c r="D28" s="908">
        <v>4.59</v>
      </c>
      <c r="E28" s="924">
        <v>4.59</v>
      </c>
    </row>
    <row r="29" spans="2:5" ht="15" customHeight="1">
      <c r="B29" s="926" t="s">
        <v>681</v>
      </c>
      <c r="C29" s="908">
        <v>9.18</v>
      </c>
      <c r="D29" s="908">
        <v>9.18</v>
      </c>
      <c r="E29" s="924">
        <v>9.18</v>
      </c>
    </row>
    <row r="30" spans="2:5" ht="15" customHeight="1">
      <c r="B30" s="925" t="s">
        <v>690</v>
      </c>
      <c r="C30" s="912"/>
      <c r="D30" s="912"/>
      <c r="E30" s="927"/>
    </row>
    <row r="31" spans="2:5" ht="41.45" customHeight="1">
      <c r="B31" s="1049" t="s">
        <v>691</v>
      </c>
      <c r="C31" s="1168" t="s">
        <v>675</v>
      </c>
      <c r="D31" s="1169"/>
      <c r="E31" s="1177"/>
    </row>
    <row r="32" spans="2:5">
      <c r="B32" s="1050"/>
      <c r="C32" s="1041" t="s">
        <v>676</v>
      </c>
      <c r="D32" s="900" t="s">
        <v>677</v>
      </c>
      <c r="E32" s="921" t="s">
        <v>678</v>
      </c>
    </row>
    <row r="33" spans="2:7">
      <c r="B33" s="1051"/>
      <c r="C33" s="1042"/>
      <c r="D33" s="902">
        <f>D25</f>
        <v>0</v>
      </c>
      <c r="E33" s="922">
        <f>E25</f>
        <v>0</v>
      </c>
    </row>
    <row r="34" spans="2:7" ht="15" customHeight="1">
      <c r="B34" s="923" t="s">
        <v>214</v>
      </c>
      <c r="C34" s="908">
        <v>91.79</v>
      </c>
      <c r="D34" s="908">
        <f>ROUND(C34*(1+D33),2)</f>
        <v>91.79</v>
      </c>
      <c r="E34" s="924">
        <f>ROUND(C34*(1+E33),2)</f>
        <v>91.79</v>
      </c>
    </row>
    <row r="35" spans="2:7" ht="15" customHeight="1">
      <c r="B35" s="923" t="s">
        <v>684</v>
      </c>
      <c r="C35" s="928" t="s">
        <v>692</v>
      </c>
      <c r="D35" s="928" t="s">
        <v>692</v>
      </c>
      <c r="E35" s="929" t="s">
        <v>692</v>
      </c>
    </row>
    <row r="36" spans="2:7" ht="15" customHeight="1">
      <c r="B36" s="925" t="s">
        <v>685</v>
      </c>
      <c r="C36" s="928" t="s">
        <v>692</v>
      </c>
      <c r="D36" s="928" t="s">
        <v>692</v>
      </c>
      <c r="E36" s="929" t="s">
        <v>692</v>
      </c>
    </row>
    <row r="37" spans="2:7" ht="15" customHeight="1">
      <c r="B37" s="925" t="s">
        <v>686</v>
      </c>
      <c r="C37" s="928" t="s">
        <v>692</v>
      </c>
      <c r="D37" s="928" t="s">
        <v>692</v>
      </c>
      <c r="E37" s="929" t="s">
        <v>692</v>
      </c>
    </row>
    <row r="38" spans="2:7" ht="15" customHeight="1">
      <c r="B38" s="926" t="s">
        <v>687</v>
      </c>
      <c r="C38" s="908">
        <f>C29</f>
        <v>9.18</v>
      </c>
      <c r="D38" s="908">
        <f>D29</f>
        <v>9.18</v>
      </c>
      <c r="E38" s="924">
        <f>E29</f>
        <v>9.18</v>
      </c>
    </row>
    <row r="39" spans="2:7" ht="15" customHeight="1" thickBot="1">
      <c r="B39" s="930" t="s">
        <v>688</v>
      </c>
      <c r="C39" s="931" t="s">
        <v>692</v>
      </c>
      <c r="D39" s="931" t="s">
        <v>692</v>
      </c>
      <c r="E39" s="932" t="s">
        <v>692</v>
      </c>
    </row>
    <row r="40" spans="2:7">
      <c r="B40" s="355"/>
      <c r="C40" s="357"/>
      <c r="D40" s="357"/>
      <c r="E40" s="357"/>
    </row>
    <row r="41" spans="2:7">
      <c r="B41" s="358" t="s">
        <v>693</v>
      </c>
      <c r="C41" s="359"/>
      <c r="D41" s="359"/>
      <c r="E41" s="359"/>
    </row>
    <row r="42" spans="2:7" ht="48" customHeight="1">
      <c r="B42" s="1052" t="s">
        <v>694</v>
      </c>
      <c r="C42" s="1052"/>
      <c r="D42" s="1052"/>
      <c r="E42" s="1052"/>
    </row>
    <row r="43" spans="2:7">
      <c r="B43" s="1052"/>
      <c r="C43" s="1052"/>
      <c r="D43" s="1052"/>
      <c r="E43" s="1052"/>
    </row>
    <row r="44" spans="2:7">
      <c r="B44" s="360"/>
      <c r="C44" s="360"/>
      <c r="D44" s="360"/>
      <c r="E44" s="360"/>
    </row>
    <row r="45" spans="2:7">
      <c r="B45" s="361" t="s">
        <v>695</v>
      </c>
      <c r="C45" s="362"/>
      <c r="D45" s="362"/>
      <c r="E45" s="362"/>
    </row>
    <row r="46" spans="2:7">
      <c r="B46" s="363" t="str">
        <f>"the maximum tuition rate.  Maximum credit tuition rate = "&amp;TEXT(E16,"$0.00")</f>
        <v>the maximum tuition rate.  Maximum credit tuition rate = $82.78</v>
      </c>
      <c r="C46" s="1104"/>
      <c r="D46" s="361"/>
      <c r="E46" s="361"/>
    </row>
    <row r="47" spans="2:7">
      <c r="B47" s="363" t="s">
        <v>696</v>
      </c>
      <c r="D47" s="361"/>
      <c r="E47" s="361"/>
      <c r="G47" s="1105"/>
    </row>
    <row r="48" spans="2:7">
      <c r="D48" s="361"/>
      <c r="E48" s="361"/>
    </row>
    <row r="49" spans="2:5" ht="15" customHeight="1">
      <c r="B49" s="1052"/>
      <c r="C49" s="1052"/>
      <c r="D49" s="1052"/>
      <c r="E49" s="1052"/>
    </row>
    <row r="50" spans="2:5">
      <c r="B50" s="1052"/>
      <c r="C50" s="1052"/>
      <c r="D50" s="1052"/>
      <c r="E50" s="1052"/>
    </row>
    <row r="51" spans="2:5">
      <c r="B51" s="1052"/>
      <c r="C51" s="1052"/>
      <c r="D51" s="1052"/>
      <c r="E51" s="1052"/>
    </row>
    <row r="52" spans="2:5" ht="21">
      <c r="B52" s="1061" t="str">
        <f>B1</f>
        <v>THE FLORIDA COLLEGE SYSTEM</v>
      </c>
      <c r="C52" s="1061"/>
      <c r="D52" s="1061"/>
      <c r="E52" s="1061"/>
    </row>
    <row r="53" spans="2:5" ht="21">
      <c r="B53" s="1061" t="str">
        <f>B2&amp;" , cont."</f>
        <v>FALL 2021-22 TUITION INCREASED BY 0% , cont.</v>
      </c>
      <c r="C53" s="1061"/>
      <c r="D53" s="1061"/>
      <c r="E53" s="1061"/>
    </row>
    <row r="54" spans="2:5" ht="21">
      <c r="B54" s="1061"/>
      <c r="C54" s="1061"/>
      <c r="D54" s="1061"/>
      <c r="E54" s="1061"/>
    </row>
    <row r="55" spans="2:5" ht="16.5" thickBot="1">
      <c r="B55" s="355"/>
      <c r="C55" s="357"/>
      <c r="D55" s="357"/>
      <c r="E55" s="357"/>
    </row>
    <row r="56" spans="2:5" ht="33" customHeight="1">
      <c r="B56" s="1044" t="s">
        <v>697</v>
      </c>
      <c r="C56" s="1174" t="s">
        <v>675</v>
      </c>
      <c r="D56" s="1175"/>
      <c r="E56" s="1176"/>
    </row>
    <row r="57" spans="2:5">
      <c r="B57" s="1045"/>
      <c r="C57" s="1041" t="s">
        <v>676</v>
      </c>
      <c r="D57" s="900" t="s">
        <v>677</v>
      </c>
      <c r="E57" s="921" t="s">
        <v>678</v>
      </c>
    </row>
    <row r="58" spans="2:5">
      <c r="B58" s="1046"/>
      <c r="C58" s="1042"/>
      <c r="D58" s="902">
        <v>-0.05</v>
      </c>
      <c r="E58" s="922">
        <v>0.05</v>
      </c>
    </row>
    <row r="59" spans="2:5" ht="15" customHeight="1">
      <c r="B59" s="923" t="s">
        <v>214</v>
      </c>
      <c r="C59" s="908">
        <v>69.900000000000006</v>
      </c>
      <c r="D59" s="908">
        <f>ROUND(C59*(1+D58),2)</f>
        <v>66.41</v>
      </c>
      <c r="E59" s="924">
        <f>ROUND(C59*(1+E58),2)</f>
        <v>73.400000000000006</v>
      </c>
    </row>
    <row r="60" spans="2:5" ht="15" customHeight="1">
      <c r="B60" s="925" t="s">
        <v>698</v>
      </c>
      <c r="C60" s="908">
        <v>6.99</v>
      </c>
      <c r="D60" s="933">
        <f>ROUND(D59*'DISCRETIONARY FEE PERCENTAGES'!$B$6,2)</f>
        <v>6.64</v>
      </c>
      <c r="E60" s="924">
        <f>ROUND(E59*'DISCRETIONARY FEE PERCENTAGES'!$B$6,2)</f>
        <v>7.34</v>
      </c>
    </row>
    <row r="61" spans="2:5" ht="15" customHeight="1">
      <c r="B61" s="925" t="s">
        <v>680</v>
      </c>
      <c r="C61" s="908">
        <v>3.5</v>
      </c>
      <c r="D61" s="933">
        <f>ROUND(D59*'DISCRETIONARY FEE PERCENTAGES'!$B$25,2)</f>
        <v>3.32</v>
      </c>
      <c r="E61" s="924">
        <f>ROUND(E59*'DISCRETIONARY FEE PERCENTAGES'!$B$25,2)</f>
        <v>3.67</v>
      </c>
    </row>
    <row r="62" spans="2:5" ht="15" customHeight="1">
      <c r="B62" s="925" t="s">
        <v>699</v>
      </c>
      <c r="C62" s="908">
        <v>3.5</v>
      </c>
      <c r="D62" s="933">
        <f>ROUND(D59*'DISCRETIONARY FEE PERCENTAGES'!$B$19,2)</f>
        <v>3.32</v>
      </c>
      <c r="E62" s="924">
        <f>ROUND(E59*'DISCRETIONARY FEE PERCENTAGES'!$B$19,2)</f>
        <v>3.67</v>
      </c>
    </row>
    <row r="63" spans="2:5" ht="33" customHeight="1">
      <c r="B63" s="1047" t="s">
        <v>700</v>
      </c>
      <c r="C63" s="1168" t="s">
        <v>675</v>
      </c>
      <c r="D63" s="1169"/>
      <c r="E63" s="1177"/>
    </row>
    <row r="64" spans="2:5">
      <c r="B64" s="1045"/>
      <c r="C64" s="1041" t="s">
        <v>676</v>
      </c>
      <c r="D64" s="900" t="s">
        <v>677</v>
      </c>
      <c r="E64" s="921" t="s">
        <v>678</v>
      </c>
    </row>
    <row r="65" spans="2:16">
      <c r="B65" s="1046"/>
      <c r="C65" s="1042"/>
      <c r="D65" s="902">
        <f>D58</f>
        <v>-0.05</v>
      </c>
      <c r="E65" s="922">
        <f>E58</f>
        <v>0.05</v>
      </c>
    </row>
    <row r="66" spans="2:16" ht="15" customHeight="1">
      <c r="B66" s="923" t="s">
        <v>214</v>
      </c>
      <c r="C66" s="908">
        <v>69.900000000000006</v>
      </c>
      <c r="D66" s="908">
        <f>ROUND(C66*(1+D65),2)</f>
        <v>66.41</v>
      </c>
      <c r="E66" s="924">
        <f>ROUND(C66*(1+E65),2)</f>
        <v>73.400000000000006</v>
      </c>
    </row>
    <row r="67" spans="2:16" ht="15" customHeight="1">
      <c r="B67" s="923" t="s">
        <v>684</v>
      </c>
      <c r="C67" s="908">
        <v>209.70000000000002</v>
      </c>
      <c r="D67" s="908">
        <f>ROUND(C67*(1+D65),2)</f>
        <v>199.22</v>
      </c>
      <c r="E67" s="924">
        <f>ROUND(C67*(1+E65),2)</f>
        <v>220.19</v>
      </c>
    </row>
    <row r="68" spans="2:16" ht="15" customHeight="1">
      <c r="B68" s="925" t="s">
        <v>701</v>
      </c>
      <c r="C68" s="908">
        <v>27.96</v>
      </c>
      <c r="D68" s="933">
        <f>ROUND((D66+D67)*'DISCRETIONARY FEE PERCENTAGES'!$B$10,2)</f>
        <v>26.56</v>
      </c>
      <c r="E68" s="924">
        <f>ROUND((E66+E67)*'DISCRETIONARY FEE PERCENTAGES'!$B$10,2)</f>
        <v>29.36</v>
      </c>
    </row>
    <row r="69" spans="2:16" ht="15" customHeight="1">
      <c r="B69" s="925" t="s">
        <v>686</v>
      </c>
      <c r="C69" s="908">
        <v>13.98</v>
      </c>
      <c r="D69" s="933">
        <f>ROUND((D66+D67)*'DISCRETIONARY FEE PERCENTAGES'!$B$28,2)</f>
        <v>13.28</v>
      </c>
      <c r="E69" s="924">
        <f>ROUND((E66+E67)*'DISCRETIONARY FEE PERCENTAGES'!$B$28,2)</f>
        <v>14.68</v>
      </c>
    </row>
    <row r="70" spans="2:16" ht="15" customHeight="1" thickBot="1">
      <c r="B70" s="930" t="s">
        <v>702</v>
      </c>
      <c r="C70" s="934">
        <v>13.98</v>
      </c>
      <c r="D70" s="935">
        <f>ROUND((D66+D67)*'DISCRETIONARY FEE PERCENTAGES'!$B$22,2)</f>
        <v>13.28</v>
      </c>
      <c r="E70" s="936">
        <f>ROUND((E66+E67)*'DISCRETIONARY FEE PERCENTAGES'!$B$22,2)</f>
        <v>14.68</v>
      </c>
    </row>
    <row r="71" spans="2:16" ht="16.5" thickBot="1">
      <c r="B71" s="355"/>
      <c r="C71" s="364"/>
      <c r="D71" s="364"/>
      <c r="E71" s="364"/>
    </row>
    <row r="72" spans="2:16" ht="32.25" customHeight="1">
      <c r="B72" s="1038" t="s">
        <v>703</v>
      </c>
      <c r="C72" s="1174" t="s">
        <v>704</v>
      </c>
      <c r="D72" s="1175"/>
      <c r="E72" s="1176"/>
    </row>
    <row r="73" spans="2:16">
      <c r="B73" s="1039"/>
      <c r="C73" s="1041" t="s">
        <v>676</v>
      </c>
      <c r="D73" s="900" t="s">
        <v>677</v>
      </c>
      <c r="E73" s="921" t="s">
        <v>678</v>
      </c>
    </row>
    <row r="74" spans="2:16">
      <c r="B74" s="1040"/>
      <c r="C74" s="1042"/>
      <c r="D74" s="902">
        <v>-0.05</v>
      </c>
      <c r="E74" s="922">
        <v>0.05</v>
      </c>
    </row>
    <row r="75" spans="2:16" ht="15" customHeight="1">
      <c r="B75" s="923" t="s">
        <v>705</v>
      </c>
      <c r="C75" s="908">
        <v>30</v>
      </c>
      <c r="D75" s="908">
        <f>ROUND(C75*(1+D74),2)</f>
        <v>28.5</v>
      </c>
      <c r="E75" s="924">
        <f>ROUND(C75*(1+E74),2)</f>
        <v>31.5</v>
      </c>
    </row>
    <row r="76" spans="2:16" ht="15" customHeight="1">
      <c r="B76" s="923"/>
      <c r="C76" s="908"/>
      <c r="D76" s="908"/>
      <c r="E76" s="924"/>
      <c r="F76" s="1053"/>
      <c r="G76" s="1053"/>
      <c r="H76" s="1053"/>
      <c r="I76" s="1053"/>
      <c r="J76" s="1053"/>
      <c r="K76" s="1053"/>
      <c r="L76" s="1053"/>
      <c r="M76" s="1053"/>
      <c r="N76" s="1053"/>
      <c r="O76" s="1053"/>
      <c r="P76" s="1053"/>
    </row>
    <row r="77" spans="2:16" ht="15" customHeight="1">
      <c r="B77" s="923" t="s">
        <v>706</v>
      </c>
      <c r="C77" s="908">
        <v>45</v>
      </c>
      <c r="D77" s="908">
        <f>ROUND(C77*(1+D74),2)</f>
        <v>42.75</v>
      </c>
      <c r="E77" s="937">
        <f>ROUND(C77*(1+E74),2)</f>
        <v>47.25</v>
      </c>
      <c r="F77" s="365"/>
      <c r="G77" s="365"/>
      <c r="H77" s="365"/>
      <c r="I77" s="365"/>
      <c r="J77" s="365"/>
      <c r="K77" s="365"/>
      <c r="L77" s="365"/>
      <c r="M77" s="365"/>
      <c r="N77" s="365"/>
      <c r="O77" s="365"/>
      <c r="P77" s="365"/>
    </row>
    <row r="78" spans="2:16" ht="15" customHeight="1">
      <c r="B78" s="366"/>
      <c r="C78" s="364"/>
      <c r="D78" s="364"/>
      <c r="E78" s="364"/>
      <c r="F78" s="1053"/>
      <c r="G78" s="1053"/>
      <c r="H78" s="1053"/>
      <c r="I78" s="1053"/>
      <c r="J78" s="1053"/>
      <c r="K78" s="1053"/>
      <c r="L78" s="1053"/>
      <c r="M78" s="1053"/>
      <c r="N78" s="1053"/>
      <c r="O78" s="1053"/>
      <c r="P78" s="1053"/>
    </row>
    <row r="79" spans="2:16" ht="15" customHeight="1">
      <c r="B79" s="358" t="s">
        <v>707</v>
      </c>
      <c r="C79" s="359"/>
      <c r="D79" s="359"/>
      <c r="E79" s="359"/>
    </row>
    <row r="80" spans="2:16" ht="15" customHeight="1">
      <c r="B80" s="358"/>
      <c r="C80" s="359"/>
      <c r="D80" s="359"/>
      <c r="E80" s="359"/>
    </row>
    <row r="81" spans="2:5" ht="30.6" customHeight="1">
      <c r="B81" s="1048" t="s">
        <v>708</v>
      </c>
      <c r="C81" s="1048"/>
      <c r="D81" s="1048"/>
      <c r="E81" s="1048"/>
    </row>
    <row r="83" spans="2:5" ht="15" customHeight="1"/>
    <row r="85" spans="2:5">
      <c r="B85" s="361"/>
      <c r="C85" s="1106"/>
      <c r="D85" s="1106"/>
      <c r="E85" s="1106"/>
    </row>
    <row r="86" spans="2:5">
      <c r="B86" s="361"/>
      <c r="C86" s="362"/>
      <c r="D86" s="362"/>
      <c r="E86" s="362"/>
    </row>
    <row r="87" spans="2:5">
      <c r="B87" s="361"/>
      <c r="C87" s="1104"/>
      <c r="D87" s="361"/>
      <c r="E87" s="361"/>
    </row>
    <row r="88" spans="2:5">
      <c r="B88" s="361"/>
      <c r="C88" s="1104"/>
      <c r="D88" s="361"/>
      <c r="E88" s="361"/>
    </row>
    <row r="89" spans="2:5">
      <c r="B89" s="361"/>
      <c r="C89" s="361"/>
      <c r="D89" s="361"/>
      <c r="E89" s="361"/>
    </row>
    <row r="90" spans="2:5">
      <c r="B90" s="361"/>
      <c r="C90" s="361"/>
      <c r="D90" s="361"/>
      <c r="E90" s="361"/>
    </row>
    <row r="91" spans="2:5">
      <c r="B91" s="1043"/>
      <c r="C91" s="1043"/>
      <c r="D91" s="1043"/>
      <c r="E91" s="1043"/>
    </row>
    <row r="92" spans="2:5">
      <c r="B92" s="1043"/>
      <c r="C92" s="1043"/>
      <c r="D92" s="1043"/>
      <c r="E92" s="1043"/>
    </row>
  </sheetData>
  <sheetProtection algorithmName="SHA-512" hashValue="4FTeQ30ZOkRchDdgD1ws42ZZu6cqh56GdmqeKg5Q2JlZefwvq4bGXK4TNnS/UVNFJ2VSvEoyr5VrGzs+z54I/g==" saltValue="tQwjm+JeWnXrJP/NLWamE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election activeCell="E11" sqref="E11"/>
    </sheetView>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075" t="s">
        <v>11</v>
      </c>
      <c r="B1" s="1075"/>
      <c r="C1" s="1075"/>
    </row>
    <row r="2" spans="1:21" s="101" customFormat="1" ht="21" customHeight="1" thickBot="1">
      <c r="A2" s="1075" t="s">
        <v>776</v>
      </c>
      <c r="B2" s="1075"/>
      <c r="C2" s="1075"/>
      <c r="D2" s="102"/>
      <c r="E2" s="102"/>
      <c r="F2" s="102"/>
      <c r="G2" s="102"/>
      <c r="H2" s="102"/>
      <c r="I2" s="102"/>
      <c r="J2" s="102"/>
      <c r="K2" s="102"/>
      <c r="L2" s="102"/>
      <c r="M2" s="102"/>
      <c r="N2" s="102"/>
      <c r="O2" s="102"/>
      <c r="P2" s="102"/>
      <c r="Q2" s="102"/>
      <c r="R2" s="102"/>
      <c r="S2" s="102"/>
      <c r="T2" s="102"/>
      <c r="U2" s="102"/>
    </row>
    <row r="3" spans="1:21" s="101" customFormat="1" ht="26.45" customHeight="1">
      <c r="A3" s="1190" t="s">
        <v>709</v>
      </c>
      <c r="B3" s="1178"/>
      <c r="C3" s="1179"/>
      <c r="D3" s="102"/>
      <c r="E3" s="102"/>
      <c r="F3" s="102"/>
      <c r="G3" s="102"/>
      <c r="H3" s="102"/>
      <c r="I3" s="102"/>
      <c r="J3" s="102"/>
      <c r="K3" s="102"/>
      <c r="L3" s="102"/>
      <c r="M3" s="102"/>
      <c r="N3" s="102"/>
      <c r="O3" s="102"/>
      <c r="P3" s="102"/>
      <c r="Q3" s="102"/>
      <c r="R3" s="102"/>
      <c r="S3" s="102"/>
      <c r="T3" s="102"/>
      <c r="U3" s="102"/>
    </row>
    <row r="4" spans="1:21" s="101" customFormat="1" ht="42">
      <c r="A4" s="938" t="s">
        <v>710</v>
      </c>
      <c r="B4" s="939">
        <v>7.0000000000000007E-2</v>
      </c>
      <c r="C4" s="940" t="s">
        <v>711</v>
      </c>
      <c r="D4" s="102"/>
      <c r="E4" s="102"/>
      <c r="F4" s="102"/>
      <c r="G4" s="102"/>
      <c r="H4" s="102"/>
      <c r="I4" s="102"/>
      <c r="J4" s="102"/>
      <c r="K4" s="102"/>
      <c r="L4" s="102"/>
      <c r="M4" s="102"/>
      <c r="N4" s="102"/>
      <c r="O4" s="102"/>
      <c r="P4" s="102"/>
      <c r="Q4" s="102"/>
      <c r="R4" s="102"/>
      <c r="S4" s="102"/>
      <c r="T4" s="102"/>
      <c r="U4" s="102"/>
    </row>
    <row r="5" spans="1:21" s="101" customFormat="1" ht="42">
      <c r="A5" s="938" t="s">
        <v>712</v>
      </c>
      <c r="B5" s="939">
        <v>0.05</v>
      </c>
      <c r="C5" s="940" t="s">
        <v>711</v>
      </c>
      <c r="D5" s="102"/>
      <c r="E5" s="102"/>
      <c r="F5" s="102"/>
      <c r="G5" s="102"/>
      <c r="H5" s="102"/>
      <c r="I5" s="102"/>
      <c r="J5" s="102"/>
      <c r="K5" s="102"/>
      <c r="L5" s="102"/>
      <c r="M5" s="102"/>
      <c r="N5" s="102"/>
      <c r="O5" s="102"/>
      <c r="P5" s="102"/>
      <c r="Q5" s="102"/>
      <c r="R5" s="102"/>
      <c r="S5" s="102"/>
      <c r="T5" s="102"/>
      <c r="U5" s="102"/>
    </row>
    <row r="6" spans="1:21" s="101" customFormat="1" ht="30.95" customHeight="1">
      <c r="A6" s="941" t="s">
        <v>713</v>
      </c>
      <c r="B6" s="942">
        <v>0.1</v>
      </c>
      <c r="C6" s="943" t="s">
        <v>711</v>
      </c>
      <c r="D6" s="102"/>
      <c r="E6" s="102"/>
      <c r="F6" s="102"/>
      <c r="G6" s="102"/>
      <c r="H6" s="102"/>
      <c r="I6" s="102"/>
      <c r="J6" s="102"/>
      <c r="K6" s="102"/>
      <c r="L6" s="102"/>
      <c r="M6" s="102"/>
      <c r="N6" s="102"/>
      <c r="O6" s="102"/>
      <c r="P6" s="102"/>
      <c r="Q6" s="102"/>
      <c r="R6" s="102"/>
      <c r="S6" s="102"/>
      <c r="T6" s="102"/>
      <c r="U6" s="102"/>
    </row>
    <row r="7" spans="1:21" s="101" customFormat="1" ht="26.45" customHeight="1">
      <c r="A7" s="1184" t="s">
        <v>714</v>
      </c>
      <c r="B7" s="1185"/>
      <c r="C7" s="1186"/>
      <c r="D7" s="102"/>
      <c r="E7" s="102"/>
      <c r="F7" s="102"/>
      <c r="G7" s="102"/>
      <c r="H7" s="102"/>
      <c r="I7" s="102"/>
      <c r="J7" s="102"/>
      <c r="K7" s="102"/>
      <c r="L7" s="102"/>
      <c r="M7" s="102"/>
      <c r="N7" s="102"/>
      <c r="O7" s="102"/>
      <c r="P7" s="102"/>
      <c r="Q7" s="102"/>
      <c r="R7" s="102"/>
      <c r="S7" s="102"/>
      <c r="T7" s="102"/>
      <c r="U7" s="102"/>
    </row>
    <row r="8" spans="1:21" s="101" customFormat="1" ht="42">
      <c r="A8" s="938" t="s">
        <v>710</v>
      </c>
      <c r="B8" s="939">
        <v>7.0000000000000007E-2</v>
      </c>
      <c r="C8" s="940" t="s">
        <v>715</v>
      </c>
      <c r="D8" s="102"/>
      <c r="E8" s="102"/>
      <c r="F8" s="102"/>
      <c r="G8" s="102"/>
      <c r="H8" s="102"/>
      <c r="I8" s="102"/>
      <c r="J8" s="102"/>
      <c r="K8" s="102"/>
      <c r="L8" s="102"/>
      <c r="M8" s="102"/>
      <c r="N8" s="102"/>
      <c r="O8" s="102"/>
      <c r="P8" s="102"/>
      <c r="Q8" s="102"/>
      <c r="R8" s="102"/>
      <c r="S8" s="102"/>
      <c r="T8" s="102"/>
      <c r="U8" s="102"/>
    </row>
    <row r="9" spans="1:21" s="101" customFormat="1" ht="42">
      <c r="A9" s="938" t="s">
        <v>712</v>
      </c>
      <c r="B9" s="939">
        <v>0.05</v>
      </c>
      <c r="C9" s="940" t="s">
        <v>715</v>
      </c>
      <c r="D9" s="102"/>
      <c r="E9" s="102"/>
      <c r="F9" s="102"/>
      <c r="G9" s="102"/>
      <c r="H9" s="102"/>
      <c r="I9" s="102"/>
      <c r="J9" s="102"/>
      <c r="K9" s="102"/>
      <c r="L9" s="102"/>
      <c r="M9" s="102"/>
      <c r="N9" s="102"/>
      <c r="O9" s="102"/>
      <c r="P9" s="102"/>
      <c r="Q9" s="102"/>
      <c r="R9" s="102"/>
      <c r="S9" s="102"/>
      <c r="T9" s="102"/>
      <c r="U9" s="102"/>
    </row>
    <row r="10" spans="1:21" s="101" customFormat="1" ht="29.1" customHeight="1">
      <c r="A10" s="941" t="str">
        <f>A6</f>
        <v>CCATD</v>
      </c>
      <c r="B10" s="942">
        <v>0.1</v>
      </c>
      <c r="C10" s="943" t="s">
        <v>715</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184" t="s">
        <v>716</v>
      </c>
      <c r="B11" s="1185"/>
      <c r="C11" s="1186"/>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38" t="s">
        <v>717</v>
      </c>
      <c r="B12" s="939">
        <v>0.1</v>
      </c>
      <c r="C12" s="940" t="s">
        <v>718</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41" t="str">
        <f>A6</f>
        <v>CCATD</v>
      </c>
      <c r="B13" s="942">
        <v>0</v>
      </c>
      <c r="C13" s="943" t="s">
        <v>719</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187" t="s">
        <v>720</v>
      </c>
      <c r="B14" s="1188"/>
      <c r="C14" s="1189"/>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38" t="s">
        <v>717</v>
      </c>
      <c r="B15" s="939">
        <v>0.1</v>
      </c>
      <c r="C15" s="940" t="s">
        <v>721</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41" t="str">
        <f>A6</f>
        <v>CCATD</v>
      </c>
      <c r="B16" s="942">
        <v>0</v>
      </c>
      <c r="C16" s="943" t="s">
        <v>719</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184" t="s">
        <v>722</v>
      </c>
      <c r="B17" s="1185"/>
      <c r="C17" s="1186"/>
      <c r="D17" s="102"/>
      <c r="E17" s="102"/>
      <c r="F17" s="102"/>
      <c r="G17" s="102"/>
      <c r="H17" s="102"/>
      <c r="I17" s="102"/>
      <c r="J17" s="102"/>
      <c r="K17" s="102"/>
      <c r="L17" s="102"/>
      <c r="M17" s="102"/>
      <c r="N17" s="102"/>
      <c r="O17" s="102"/>
      <c r="P17" s="102"/>
      <c r="Q17" s="102"/>
      <c r="R17" s="102"/>
      <c r="S17" s="102"/>
      <c r="T17" s="102"/>
      <c r="U17" s="102"/>
    </row>
    <row r="18" spans="1:21" s="101" customFormat="1" ht="42">
      <c r="A18" s="944" t="s">
        <v>717</v>
      </c>
      <c r="B18" s="939">
        <v>0.2</v>
      </c>
      <c r="C18" s="945" t="s">
        <v>723</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41" t="str">
        <f>A6</f>
        <v>CCATD</v>
      </c>
      <c r="B19" s="942">
        <v>0.05</v>
      </c>
      <c r="C19" s="943" t="s">
        <v>724</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184" t="s">
        <v>725</v>
      </c>
      <c r="B20" s="1185"/>
      <c r="C20" s="1186"/>
      <c r="D20" s="102"/>
      <c r="E20" s="102"/>
      <c r="F20" s="102"/>
      <c r="G20" s="102"/>
      <c r="H20" s="102"/>
      <c r="I20" s="102"/>
      <c r="J20" s="102"/>
      <c r="K20" s="102"/>
      <c r="L20" s="102"/>
      <c r="M20" s="102"/>
      <c r="N20" s="102"/>
      <c r="O20" s="102"/>
      <c r="P20" s="102"/>
      <c r="Q20" s="102"/>
      <c r="R20" s="102"/>
      <c r="S20" s="102"/>
      <c r="T20" s="102"/>
      <c r="U20" s="102"/>
    </row>
    <row r="21" spans="1:21" s="101" customFormat="1" ht="21">
      <c r="A21" s="944" t="s">
        <v>717</v>
      </c>
      <c r="B21" s="939">
        <v>0.2</v>
      </c>
      <c r="C21" s="940" t="s">
        <v>715</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41" t="str">
        <f>A6</f>
        <v>CCATD</v>
      </c>
      <c r="B22" s="942">
        <v>0.05</v>
      </c>
      <c r="C22" s="943" t="s">
        <v>715</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184" t="s">
        <v>726</v>
      </c>
      <c r="B23" s="1185"/>
      <c r="C23" s="1186"/>
      <c r="D23" s="102"/>
      <c r="E23" s="102"/>
      <c r="F23" s="102"/>
      <c r="G23" s="102"/>
      <c r="H23" s="102"/>
      <c r="I23" s="102"/>
      <c r="J23" s="102"/>
      <c r="K23" s="102"/>
      <c r="L23" s="102"/>
      <c r="M23" s="102"/>
      <c r="N23" s="102"/>
      <c r="O23" s="102"/>
      <c r="P23" s="102"/>
      <c r="Q23" s="102"/>
      <c r="R23" s="102"/>
      <c r="S23" s="102"/>
      <c r="T23" s="102"/>
      <c r="U23" s="102"/>
    </row>
    <row r="24" spans="1:21" s="101" customFormat="1" ht="21">
      <c r="A24" s="944" t="s">
        <v>717</v>
      </c>
      <c r="B24" s="939">
        <v>0.05</v>
      </c>
      <c r="C24" s="940" t="s">
        <v>718</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41" t="str">
        <f>A6</f>
        <v>CCATD</v>
      </c>
      <c r="B25" s="942">
        <v>0.05</v>
      </c>
      <c r="C25" s="946" t="s">
        <v>718</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184" t="s">
        <v>727</v>
      </c>
      <c r="B26" s="1185"/>
      <c r="C26" s="1186"/>
      <c r="D26" s="102"/>
      <c r="E26" s="102"/>
      <c r="F26" s="102"/>
      <c r="G26" s="102"/>
      <c r="H26" s="102"/>
      <c r="I26" s="102"/>
      <c r="J26" s="102"/>
      <c r="K26" s="102"/>
      <c r="L26" s="102"/>
      <c r="M26" s="102"/>
      <c r="N26" s="102"/>
      <c r="O26" s="102"/>
      <c r="P26" s="102"/>
      <c r="Q26" s="102"/>
      <c r="R26" s="102"/>
      <c r="S26" s="102"/>
      <c r="T26" s="102"/>
      <c r="U26" s="102"/>
    </row>
    <row r="27" spans="1:21" s="101" customFormat="1" ht="21">
      <c r="A27" s="944" t="s">
        <v>717</v>
      </c>
      <c r="B27" s="939">
        <v>0.05</v>
      </c>
      <c r="C27" s="940" t="s">
        <v>715</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47" t="str">
        <f>A6</f>
        <v>CCATD</v>
      </c>
      <c r="B28" s="948">
        <v>0.05</v>
      </c>
      <c r="C28" s="949" t="s">
        <v>715</v>
      </c>
      <c r="D28" s="102"/>
      <c r="E28" s="102"/>
      <c r="F28" s="102"/>
      <c r="G28" s="102"/>
      <c r="H28" s="102"/>
      <c r="I28" s="102"/>
      <c r="J28" s="102"/>
      <c r="K28" s="102"/>
      <c r="L28" s="102"/>
      <c r="M28" s="102"/>
      <c r="N28" s="102"/>
      <c r="O28" s="102"/>
      <c r="P28" s="102"/>
      <c r="Q28" s="102"/>
      <c r="R28" s="102"/>
      <c r="S28" s="102"/>
      <c r="T28" s="102"/>
      <c r="U28" s="102"/>
    </row>
    <row r="30" spans="1:21" ht="61.35" customHeight="1">
      <c r="A30" s="1180" t="s">
        <v>728</v>
      </c>
      <c r="B30" s="1180"/>
      <c r="C30" s="1180"/>
    </row>
    <row r="31" spans="1:21" ht="14.45" customHeight="1">
      <c r="A31" s="1181"/>
      <c r="B31" s="1181"/>
      <c r="C31" s="1181"/>
    </row>
    <row r="32" spans="1:21" ht="31.35" customHeight="1">
      <c r="A32" s="1180" t="s">
        <v>729</v>
      </c>
      <c r="B32" s="1180"/>
      <c r="C32" s="1180"/>
    </row>
    <row r="33" spans="1:3" ht="14.45" customHeight="1">
      <c r="A33" s="1181"/>
      <c r="B33" s="1181"/>
      <c r="C33" s="1181"/>
    </row>
    <row r="34" spans="1:3" ht="30" customHeight="1">
      <c r="A34" s="1180" t="s">
        <v>730</v>
      </c>
      <c r="B34" s="1180"/>
      <c r="C34" s="1180"/>
    </row>
    <row r="35" spans="1:3" ht="14.45" customHeight="1">
      <c r="A35" s="1181"/>
      <c r="B35" s="1181"/>
      <c r="C35" s="1181"/>
    </row>
    <row r="36" spans="1:3" ht="15" customHeight="1">
      <c r="A36" s="1182" t="s">
        <v>731</v>
      </c>
      <c r="B36" s="1181"/>
      <c r="C36" s="1181"/>
    </row>
    <row r="37" spans="1:3" ht="15" customHeight="1">
      <c r="A37" s="99"/>
      <c r="B37" s="98"/>
      <c r="C37" s="98"/>
    </row>
    <row r="38" spans="1:3" ht="15" customHeight="1">
      <c r="A38" s="100"/>
      <c r="B38" s="98"/>
      <c r="C38" s="98"/>
    </row>
  </sheetData>
  <sheetProtection algorithmName="SHA-512" hashValue="eSUvFtbtIpAKIyPv62M9h95KJyWGGxzNTr4UvrpC1puFrA7hA9Ta3w1j8ZUYP5FqIKxeAjYF3jgYgAz6DoEZ5g==" saltValue="8pTxjqowttrrJeL7Bx6vT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3"/>
  <sheetViews>
    <sheetView workbookViewId="0"/>
  </sheetViews>
  <sheetFormatPr defaultColWidth="8.85546875" defaultRowHeight="12.75"/>
  <sheetData>
    <row r="1" spans="1:1">
      <c r="A1" s="748" t="s">
        <v>732</v>
      </c>
    </row>
    <row r="2" spans="1:1">
      <c r="A2" s="748" t="s">
        <v>733</v>
      </c>
    </row>
    <row r="3" spans="1:1">
      <c r="A3" s="748" t="s">
        <v>734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elements/1.1/"/>
    <ds:schemaRef ds:uri="http://purl.org/dc/terms/"/>
    <ds:schemaRef ds:uri="ee822479-6e51-4d14-b6b0-2c589e913e66"/>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Nieto, Eve</cp:lastModifiedBy>
  <cp:revision/>
  <cp:lastPrinted>2021-06-23T21:30:31Z</cp:lastPrinted>
  <dcterms:created xsi:type="dcterms:W3CDTF">2005-03-22T15:46:43Z</dcterms:created>
  <dcterms:modified xsi:type="dcterms:W3CDTF">2021-10-13T14:44:32Z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