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D17" i="8" l="1"/>
  <c r="D14" i="8"/>
  <c r="C17" i="8"/>
  <c r="C16" i="8"/>
  <c r="C14" i="8"/>
  <c r="C10" i="8"/>
  <c r="B17" i="8" l="1"/>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G33" i="6"/>
  <c r="F34" i="6"/>
  <c r="G34" i="6"/>
  <c r="H34" i="6"/>
  <c r="G32" i="7" s="1"/>
  <c r="F35" i="6"/>
  <c r="G35" i="6"/>
  <c r="E19" i="6"/>
  <c r="F19" i="6" s="1"/>
  <c r="G21" i="7" s="1"/>
  <c r="E20" i="6"/>
  <c r="F20" i="6" s="1"/>
  <c r="G22" i="7" s="1"/>
  <c r="E21" i="6"/>
  <c r="F21" i="6" s="1"/>
  <c r="G23" i="7" s="1"/>
  <c r="E22" i="6"/>
  <c r="F22" i="6"/>
  <c r="G24" i="7" s="1"/>
  <c r="E23" i="6"/>
  <c r="F23" i="6" s="1"/>
  <c r="G25" i="7" s="1"/>
  <c r="E24" i="6"/>
  <c r="F24" i="6"/>
  <c r="G26" i="7" s="1"/>
  <c r="B34" i="5"/>
  <c r="E39" i="6"/>
  <c r="F39" i="6" s="1"/>
  <c r="B35" i="5"/>
  <c r="E40" i="6" s="1"/>
  <c r="F40" i="6" s="1"/>
  <c r="G38" i="7" s="1"/>
  <c r="B37" i="5"/>
  <c r="E41" i="6"/>
  <c r="F41" i="6"/>
  <c r="G39" i="7" s="1"/>
  <c r="B38" i="5"/>
  <c r="E42" i="6"/>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70" i="22" s="1"/>
  <c r="E66" i="22"/>
  <c r="D65" i="22"/>
  <c r="D67" i="22" s="1"/>
  <c r="D70" i="22" s="1"/>
  <c r="D59" i="22"/>
  <c r="D60" i="22" s="1"/>
  <c r="B52" i="22"/>
  <c r="E33" i="22"/>
  <c r="E34" i="22"/>
  <c r="D33" i="22"/>
  <c r="D34" i="22" s="1"/>
  <c r="D26" i="22"/>
  <c r="D38" i="22"/>
  <c r="C38" i="22"/>
  <c r="E15" i="22"/>
  <c r="D15" i="22"/>
  <c r="B46" i="22"/>
  <c r="E26" i="22"/>
  <c r="E59" i="22"/>
  <c r="E60" i="22" s="1"/>
  <c r="E61" i="22"/>
  <c r="E38" i="22"/>
  <c r="B29" i="5"/>
  <c r="G14" i="5"/>
  <c r="H14" i="5" s="1"/>
  <c r="G254" i="7"/>
  <c r="E15" i="8"/>
  <c r="E36" i="6"/>
  <c r="D36" i="6"/>
  <c r="F36" i="6" s="1"/>
  <c r="D43" i="6"/>
  <c r="D26" i="6"/>
  <c r="E17" i="6"/>
  <c r="G20" i="5"/>
  <c r="H20" i="5" s="1"/>
  <c r="G19" i="5"/>
  <c r="H19" i="5" s="1"/>
  <c r="G22" i="5"/>
  <c r="H22" i="5"/>
  <c r="G23" i="5"/>
  <c r="H23" i="5"/>
  <c r="E20" i="12"/>
  <c r="E29" i="12"/>
  <c r="E30" i="12"/>
  <c r="G195" i="7"/>
  <c r="D21" i="8"/>
  <c r="E68" i="3"/>
  <c r="C94" i="12"/>
  <c r="B31" i="5"/>
  <c r="H31" i="5" s="1"/>
  <c r="I31" i="5" s="1"/>
  <c r="B30" i="5"/>
  <c r="H30" i="5" s="1"/>
  <c r="I30" i="5" s="1"/>
  <c r="G16" i="5"/>
  <c r="H16" i="5" s="1"/>
  <c r="G15" i="5"/>
  <c r="H15" i="5" s="1"/>
  <c r="D96" i="8"/>
  <c r="C96" i="8"/>
  <c r="B69" i="6"/>
  <c r="B70" i="6" s="1"/>
  <c r="E19" i="4"/>
  <c r="E69" i="3"/>
  <c r="E70" i="3"/>
  <c r="E71" i="3"/>
  <c r="E72" i="3"/>
  <c r="E73" i="3"/>
  <c r="B21" i="8"/>
  <c r="C21" i="8"/>
  <c r="E10" i="8"/>
  <c r="E12" i="8"/>
  <c r="E16" i="8"/>
  <c r="E17" i="8"/>
  <c r="E18" i="8"/>
  <c r="E19" i="8"/>
  <c r="E20" i="8"/>
  <c r="E36" i="4"/>
  <c r="C127" i="3"/>
  <c r="D33" i="4"/>
  <c r="B60" i="6"/>
  <c r="C96" i="3"/>
  <c r="E26" i="4"/>
  <c r="E16" i="4"/>
  <c r="G270" i="7"/>
  <c r="G274" i="7" s="1"/>
  <c r="C120" i="3" s="1"/>
  <c r="E14" i="8"/>
  <c r="G238" i="7"/>
  <c r="X141" i="23"/>
  <c r="D66" i="22"/>
  <c r="H35" i="6"/>
  <c r="G33" i="7" s="1"/>
  <c r="H33" i="6"/>
  <c r="G31" i="7" s="1"/>
  <c r="H34" i="5"/>
  <c r="I34" i="5" s="1"/>
  <c r="E62" i="22"/>
  <c r="H38" i="5"/>
  <c r="I38" i="5"/>
  <c r="C95" i="3"/>
  <c r="D92" i="23"/>
  <c r="E92" i="23" s="1"/>
  <c r="F92" i="23" s="1"/>
  <c r="H37" i="5"/>
  <c r="I37" i="5" s="1"/>
  <c r="D17" i="6"/>
  <c r="F12" i="6"/>
  <c r="H12" i="6" s="1"/>
  <c r="G14" i="7" s="1"/>
  <c r="F11" i="6"/>
  <c r="H11" i="6" s="1"/>
  <c r="G13" i="7" s="1"/>
  <c r="F14" i="6"/>
  <c r="E48" i="3" s="1"/>
  <c r="H14" i="6"/>
  <c r="G16" i="7" s="1"/>
  <c r="H13" i="6"/>
  <c r="G15" i="7" s="1"/>
  <c r="F15" i="6"/>
  <c r="E49" i="3" s="1"/>
  <c r="F10" i="6"/>
  <c r="E44" i="3" s="1"/>
  <c r="E47" i="3"/>
  <c r="E45" i="3"/>
  <c r="C113" i="3" l="1"/>
  <c r="E21" i="8"/>
  <c r="C111" i="3"/>
  <c r="C112" i="3"/>
  <c r="G256" i="7"/>
  <c r="E25" i="4" s="1"/>
  <c r="E28" i="4" s="1"/>
  <c r="C92" i="3"/>
  <c r="C93" i="3"/>
  <c r="H10" i="6"/>
  <c r="G12" i="7" s="1"/>
  <c r="H15" i="6"/>
  <c r="G17" i="7" s="1"/>
  <c r="G30" i="7"/>
  <c r="G35" i="7" s="1"/>
  <c r="H36" i="6"/>
  <c r="E69" i="22"/>
  <c r="F43" i="6"/>
  <c r="H44" i="6" s="1"/>
  <c r="G37" i="7"/>
  <c r="D68" i="22"/>
  <c r="T113" i="23"/>
  <c r="E74" i="3"/>
  <c r="E46" i="3"/>
  <c r="E68" i="22"/>
  <c r="D61" i="22"/>
  <c r="H35" i="5"/>
  <c r="I35" i="5" s="1"/>
  <c r="H29" i="5"/>
  <c r="I29" i="5" s="1"/>
  <c r="F17" i="6"/>
  <c r="E50" i="3" s="1"/>
  <c r="F118" i="15"/>
  <c r="C121" i="3"/>
  <c r="D69" i="22"/>
  <c r="D62" i="22"/>
  <c r="G28" i="7"/>
  <c r="G42" i="7"/>
  <c r="F26" i="6"/>
  <c r="D126" i="15"/>
  <c r="C128" i="3"/>
  <c r="C132" i="3" s="1"/>
  <c r="E120" i="15"/>
  <c r="F102" i="15"/>
  <c r="E138"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G19" i="7"/>
  <c r="D125" i="15"/>
  <c r="H17" i="6"/>
  <c r="G44" i="7"/>
  <c r="G63" i="7" s="1"/>
  <c r="G143" i="7" s="1"/>
  <c r="E18" i="4" s="1"/>
  <c r="E21" i="4" s="1"/>
  <c r="E23" i="4" s="1"/>
  <c r="E44" i="4" s="1"/>
  <c r="C17" i="3" s="1"/>
  <c r="F120" i="15"/>
  <c r="H27" i="6"/>
  <c r="H46" i="6" s="1"/>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C34" i="3" l="1"/>
  <c r="C144" i="3"/>
  <c r="F125" i="15"/>
  <c r="F136" i="15" s="1"/>
  <c r="C137" i="3"/>
  <c r="D136" i="15"/>
  <c r="D138" i="15" s="1"/>
  <c r="D32" i="4"/>
  <c r="E35" i="4" s="1"/>
  <c r="E38" i="4" s="1"/>
  <c r="F138" i="15" l="1"/>
  <c r="C153"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<sst xmlns="http://schemas.openxmlformats.org/spreadsheetml/2006/main" count="1325" uniqueCount="807">
  <si>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</si>
  <si>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</si>
  <si>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</si>
  <si>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</si>
  <si>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</si>
  <si>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</si>
  <si>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</si>
  <si>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</si>
  <si>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</si>
  <si>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</si>
  <si>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</si>
  <si>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</si>
  <si>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</si>
  <si>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</si>
  <si>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</si>
  <si>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</si>
  <si>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</si>
  <si>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</si>
  <si>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</si>
  <si>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</si>
  <si>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</si>
  <si>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</si>
  <si>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</si>
  <si>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</si>
  <si>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</si>
  <si>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</si>
  <si>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</si>
  <si>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</si>
  <si>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</si>
  <si>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</si>
  <si>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</si>
  <si>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</si>
  <si>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</si>
  <si>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</si>
  <si>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</si>
  <si>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</si>
  <si>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</si>
  <si>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</si>
  <si>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</si>
  <si>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</si>
  <si>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</si>
  <si>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</si>
  <si>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</si>
  <si>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</si>
  <si>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</si>
  <si>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</si>
  <si>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</si>
  <si>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</si>
  <si>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</si>
  <si>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</si>
  <si>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</si>
  <si>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</si>
  <si>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</si>
  <si>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</si>
  <si>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</si>
  <si>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</si>
  <si>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</si>
  <si>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</si>
  <si>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</si>
  <si>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</si>
  <si>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</si>
  <si>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</si>
  <si>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</si>
  <si>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</si>
  <si>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</si>
  <si>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</si>
  <si>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</si>
  <si>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</si>
  <si>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</si>
  <si>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</si>
  <si>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</si>
  <si>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</si>
  <si>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</si>
  <si>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</si>
  <si>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</si>
  <si>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</si>
  <si>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</si>
  <si>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</si>
  <si>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</si>
  <si>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</si>
  <si>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</si>
  <si>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</si>
  <si>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</si>
  <si>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</si>
  <si>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</si>
  <si>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</si>
  <si>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</si>
  <si>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</si>
  <si>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</si>
  <si>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</si>
  <si>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</si>
  <si>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</si>
  <si>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</si>
  <si>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</si>
  <si>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</si>
  <si>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</si>
  <si>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</si>
  <si>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</si>
  <si>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</si>
  <si>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</si>
  <si>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</si>
  <si>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</si>
  <si>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</si>
  <si>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</si>
  <si>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</si>
  <si>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</si>
  <si>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</si>
  <si>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</si>
  <si>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</si>
  <si>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</si>
  <si>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</si>
  <si>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</si>
  <si>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</si>
  <si>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</si>
  <si>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</si>
  <si>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</si>
  <si>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</si>
  <si>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</si>
  <si>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</si>
  <si>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</si>
  <si>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</si>
  <si>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</si>
  <si>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</si>
  <si>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</si>
  <si>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</si>
  <si>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</si>
  <si>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</si>
  <si>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</si>
  <si>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</si>
  <si>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</si>
  <si>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</si>
  <si>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</si>
  <si>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</si>
  <si>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</si>
  <si>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</si>
  <si>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</si>
  <si>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</si>
  <si>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</si>
  <si>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</si>
  <si>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</si>
  <si>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</si>
  <si>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</si>
  <si>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</si>
  <si>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</si>
  <si>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</si>
  <si>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</si>
  <si>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</si>
  <si>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</si>
  <si>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</si>
  <si>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</si>
  <si>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</si>
  <si>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</si>
  <si>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</si>
  <si>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</si>
  <si>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</si>
  <si>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</si>
  <si>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</si>
  <si>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</si>
  <si>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</si>
  <si>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</si>
  <si>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</si>
  <si>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</si>
  <si>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</si>
  <si>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</si>
  <si>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</si>
  <si>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</si>
  <si>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</si>
  <si>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</si>
  <si>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</si>
  <si>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</si>
  <si>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</si>
  <si>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</si>
  <si>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</si>
  <si>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</si>
  <si>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</si>
  <si>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</si>
  <si>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</si>
  <si>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</si>
  <si>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</si>
  <si>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</si>
  <si>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</si>
  <si>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</si>
  <si>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</si>
  <si>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</si>
  <si>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</si>
  <si>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</si>
  <si>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</si>
  <si>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</si>
  <si>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</si>
  <si>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</si>
  <si>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</si>
  <si>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</si>
  <si>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</si>
  <si>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</si>
  <si>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</si>
  <si>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</si>
  <si>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</si>
  <si>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</si>
  <si>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</si>
  <si>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</si>
  <si>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</si>
  <si>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</si>
  <si>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</si>
  <si>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</si>
  <si>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</si>
  <si>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</si>
  <si>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</si>
  <si>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</si>
  <si>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</si>
  <si>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</si>
  <si>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</si>
  <si>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</si>
  <si>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</si>
  <si>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</si>
  <si>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</si>
  <si>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</si>
  <si>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</si>
  <si>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</si>
  <si>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</si>
  <si>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</si>
  <si>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</si>
  <si>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</si>
  <si>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</si>
  <si>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</si>
  <si>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</si>
  <si>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</si>
  <si>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</si>
  <si>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</si>
  <si>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</si>
  <si>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</si>
  <si>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</si>
  <si>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</si>
  <si>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</si>
  <si>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</si>
  <si>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</si>
  <si>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</si>
  <si>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</si>
  <si>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</si>
  <si>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</si>
  <si>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</si>
  <si>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</si>
  <si>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</si>
  <si>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</si>
  <si>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</si>
  <si>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</si>
  <si>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</si>
  <si>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</si>
  <si>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</si>
  <si>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</si>
  <si>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</si>
  <si>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</si>
  <si>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</si>
  <si>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</si>
  <si>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</si>
  <si>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</si>
  <si>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</si>
  <si>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</si>
  <si>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</si>
  <si>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</si>
  <si>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</si>
  <si>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</si>
  <si>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</si>
  <si>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</si>
  <si>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</si>
  <si>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</si>
  <si>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</si>
  <si>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</si>
  <si>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</si>
  <si>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</si>
  <si>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</si>
  <si>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</si>
  <si>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</si>
  <si>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</si>
  <si>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</si>
  <si>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</si>
  <si>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</si>
  <si>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</si>
  <si>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</si>
  <si>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</si>
  <si>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</si>
  <si>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</si>
  <si>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</si>
  <si>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</si>
  <si>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</si>
  <si>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</si>
  <si>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</si>
  <si>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</si>
  <si>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</si>
  <si>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</si>
  <si>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</si>
  <si>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</si>
  <si>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</si>
  <si>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</si>
  <si>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</si>
  <si>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</si>
  <si>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</si>
  <si>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</si>
  <si>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</si>
  <si>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</si>
  <si>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</si>
  <si>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</si>
  <si>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</si>
  <si>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</si>
  <si>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</si>
  <si>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</si>
  <si>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</si>
  <si>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</si>
  <si>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</si>
  <si>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</si>
  <si>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</si>
  <si>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</si>
  <si>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</si>
  <si>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</si>
  <si>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</si>
  <si>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</si>
  <si>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</si>
  <si>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</si>
  <si>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</si>
  <si>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</si>
  <si>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</si>
  <si>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</si>
  <si>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</si>
  <si>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</si>
  <si>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</si>
  <si>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</si>
  <si>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</si>
  <si>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</si>
  <si>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</si>
  <si>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</si>
  <si>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</si>
  <si>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</si>
  <si>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</si>
  <si>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</si>
  <si>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</si>
  <si>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</si>
  <si>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</si>
  <si>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</si>
  <si>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</si>
  <si>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</si>
  <si>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</si>
  <si>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</si>
  <si>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</si>
  <si>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</si>
  <si>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</si>
  <si>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</si>
  <si>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</si>
  <si>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</si>
  <si>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</si>
  <si>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</si>
  <si>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</si>
  <si>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</si>
  <si>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</si>
  <si>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</si>
  <si>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</si>
  <si>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</si>
  <si>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</si>
  <si>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</si>
  <si>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</si>
  <si>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</si>
  <si>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</si>
  <si>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</si>
  <si>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</si>
  <si>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</si>
  <si>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</si>
  <si>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</si>
  <si>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</si>
  <si>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</si>
  <si>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</si>
  <si>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</si>
  <si>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</si>
  <si>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</si>
  <si>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</si>
  <si>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</si>
  <si>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</si>
  <si>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</si>
  <si>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</si>
  <si>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</si>
  <si>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</si>
  <si>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</si>
  <si>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</si>
  <si>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</si>
  <si>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</si>
  <si>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</si>
  <si>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</si>
  <si>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</si>
  <si>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</si>
  <si>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</si>
  <si>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</si>
  <si>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</si>
  <si>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</si>
  <si>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</si>
  <si>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</si>
  <si>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</si>
  <si>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</si>
  <si>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</si>
  <si>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</si>
  <si>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</si>
  <si>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</si>
  <si>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</si>
  <si>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</si>
  <si>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</si>
  <si>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</si>
  <si>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</si>
  <si>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</si>
  <si>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</si>
  <si>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</si>
  <si>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</si>
  <si>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</si>
  <si>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</si>
  <si>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</si>
  <si>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</si>
  <si>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</si>
  <si>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</si>
  <si>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</si>
  <si>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</si>
  <si>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</si>
  <si>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</si>
  <si>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</si>
  <si>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</si>
  <si>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</si>
  <si>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</si>
  <si>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</si>
  <si>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</si>
  <si>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</si>
  <si>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</si>
  <si>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</si>
  <si>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</si>
  <si>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</si>
  <si>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</si>
  <si>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</si>
  <si>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</si>
  <si>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</si>
  <si>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</si>
  <si>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</si>
  <si>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</si>
  <si>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</si>
  <si>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</si>
  <si>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</si>
  <si>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</si>
  <si>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</si>
  <si>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</si>
  <si>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</si>
  <si>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</si>
  <si>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</si>
  <si>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</si>
  <si>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</si>
  <si>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</si>
  <si>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</si>
  <si>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</si>
  <si>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</si>
  <si>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</si>
  <si>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</si>
  <si>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</si>
  <si>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</si>
  <si>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</si>
  <si>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</si>
  <si>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</si>
  <si>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</si>
  <si>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</si>
  <si>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</si>
  <si>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</si>
  <si>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</si>
  <si>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</si>
  <si>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</si>
  <si>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</si>
  <si>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</si>
  <si>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</si>
  <si>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</si>
  <si>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</si>
  <si>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</si>
  <si>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</si>
  <si>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</si>
  <si>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</si>
  <si>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</si>
  <si>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</si>
  <si>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</si>
  <si>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</si>
  <si>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</si>
  <si>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</si>
  <si>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</si>
  <si>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</si>
  <si>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</si>
  <si>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</si>
  <si>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</si>
  <si>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</si>
  <si>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</si>
  <si>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</si>
  <si>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</si>
  <si>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</si>
  <si>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</si>
  <si>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</si>
  <si>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</si>
  <si>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</si>
  <si>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</si>
  <si>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</si>
  <si>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</si>
  <si>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</si>
  <si>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</si>
  <si>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</si>
  <si>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</si>
  <si>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</si>
  <si>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</si>
  <si>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</si>
  <si>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</si>
  <si>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</si>
  <si>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</si>
  <si>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</si>
  <si>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</si>
  <si>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</si>
  <si>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</si>
  <si>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</si>
  <si>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</si>
  <si>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</si>
  <si>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</si>
  <si>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</si>
  <si>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</si>
  <si>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</si>
  <si>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</si>
  <si>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</si>
  <si>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</si>
  <si>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</si>
  <si>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</si>
  <si>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</si>
  <si>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</si>
  <si>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</si>
  <si>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</si>
  <si>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</si>
  <si>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</si>
  <si>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</si>
  <si>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</si>
  <si>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</si>
  <si>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</si>
  <si>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</si>
  <si>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</si>
  <si>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</si>
  <si>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</si>
  <si>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</si>
  <si>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</si>
  <si>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</si>
  <si>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</si>
  <si>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</si>
  <si>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</si>
  <si>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</si>
  <si>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</si>
  <si>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</si>
  <si>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</si>
  <si>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</si>
  <si>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</si>
  <si>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</si>
  <si>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</si>
  <si>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</si>
  <si>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</si>
  <si>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</si>
  <si>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</si>
  <si>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</si>
  <si>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</si>
  <si>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</si>
  <si>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</si>
  <si>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</si>
  <si>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</si>
  <si>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</si>
  <si>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</si>
  <si>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</si>
  <si>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</si>
  <si>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</si>
  <si>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</si>
  <si>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</si>
  <si>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</si>
  <si>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</si>
  <si>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</si>
  <si>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</si>
  <si>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</si>
  <si>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</si>
  <si>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</si>
  <si>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</si>
  <si>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</si>
  <si>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</si>
  <si>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</si>
  <si>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</si>
  <si>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</si>
  <si>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</si>
  <si>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</si>
  <si>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</si>
  <si>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</si>
  <si>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</si>
  <si>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</si>
  <si>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</si>
  <si>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</si>
  <si>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</si>
  <si>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</si>
  <si>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</si>
  <si>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</si>
  <si>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</si>
  <si>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</si>
  <si>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</si>
  <si>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</si>
  <si>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</si>
  <si>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</si>
  <si>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</si>
  <si>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</si>
  <si>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</si>
  <si>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</si>
  <si>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</si>
  <si>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</si>
  <si>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</si>
  <si>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</si>
  <si>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</si>
  <si>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</si>
  <si>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</si>
  <si>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</si>
  <si>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</si>
  <si>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</si>
  <si>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</si>
  <si>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</si>
  <si>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</si>
  <si>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</si>
  <si>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</si>
  <si>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</si>
  <si>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</si>
  <si>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</si>
  <si>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</si>
  <si>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</si>
  <si>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</si>
  <si>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</si>
  <si>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</si>
  <si>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</si>
  <si>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</si>
  <si>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</si>
  <si>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</si>
  <si>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</si>
  <si>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</si>
  <si>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</si>
  <si>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</si>
  <si>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</si>
  <si>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</si>
  <si>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</si>
  <si>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</si>
  <si>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</si>
  <si>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</si>
  <si>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</si>
  <si>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</si>
  <si>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</si>
  <si>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</si>
  <si>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</si>
  <si>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</si>
  <si>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</si>
  <si>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</si>
  <si>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</si>
  <si>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</si>
  <si>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</si>
  <si>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</si>
  <si>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</si>
  <si>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</si>
  <si>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</si>
  <si>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</si>
  <si>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</si>
  <si>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</si>
  <si>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</si>
  <si>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</si>
  <si>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</si>
  <si>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</si>
  <si>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</si>
  <si>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</si>
  <si>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</si>
  <si>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</si>
  <si>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</si>
  <si>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</si>
  <si>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</si>
  <si>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</si>
  <si>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</si>
  <si>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</si>
  <si>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</si>
  <si>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</si>
  <si>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</si>
  <si>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</si>
  <si>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</si>
  <si>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</si>
  <si>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</si>
  <si>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</si>
  <si>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</si>
  <si>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</si>
  <si>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</si>
  <si>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</si>
  <si>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</si>
  <si>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</si>
  <si>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</si>
  <si>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</si>
  <si>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</si>
  <si>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</si>
  <si>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</si>
  <si>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</si>
  <si>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</si>
  <si>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</si>
  <si>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</si>
  <si>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</si>
  <si>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</si>
  <si>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</si>
  <si>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</si>
  <si>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</si>
  <si>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</si>
  <si>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</si>
  <si>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</si>
  <si>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</si>
  <si>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</si>
  <si>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</si>
  <si>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</si>
  <si>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</si>
  <si>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</si>
  <si>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</si>
  <si>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</si>
  <si>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</si>
  <si>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</si>
  <si>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</si>
  <si>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</si>
  <si>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</si>
  <si>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</si>
  <si>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</si>
  <si>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</si>
  <si>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</si>
  <si>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</si>
  <si>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</si>
  <si>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</si>
  <si>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</si>
  <si>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</si>
  <si>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</si>
  <si>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</si>
  <si>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</si>
  <si>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</si>
  <si>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</si>
  <si>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</si>
  <si>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</si>
  <si>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</si>
  <si>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</si>
  <si>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</si>
  <si>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</si>
  <si>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</si>
  <si>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</si>
  <si>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</si>
  <si>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</si>
  <si>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</si>
  <si>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</si>
  <si>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</si>
  <si>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</si>
  <si>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</si>
  <si>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</si>
  <si>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</si>
  <si>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</si>
  <si>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</si>
  <si>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</si>
  <si>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</si>
  <si>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</si>
  <si>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</si>
  <si>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</si>
  <si>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</si>
  <si>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</si>
  <si>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</si>
  <si>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</si>
  <si>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</si>
  <si>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</si>
  <si>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</si>
  <si>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</si>
  <si>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</si>
  <si>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</si>
  <si>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</si>
  <si>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</si>
  <si>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</si>
  <si>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</si>
  <si>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</si>
  <si>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</si>
  <si>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</si>
  <si>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</si>
  <si>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</si>
  <si>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</si>
  <si>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</si>
  <si>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</si>
  <si>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</si>
  <si>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</si>
  <si>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</si>
  <si>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</si>
  <si>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</si>
  <si>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</si>
  <si>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</si>
  <si>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</si>
  <si>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</si>
  <si>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</si>
  <si>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</si>
  <si>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</si>
  <si>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</si>
  <si>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</si>
  <si>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</si>
  <si>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</si>
  <si>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Auxiliary-Hospitality &amp; Pulic Relations</t>
  </si>
  <si>
    <t>Auxiliary Fund</t>
  </si>
  <si>
    <t>Operating Fund</t>
  </si>
  <si>
    <t>(non-fee paying), the PSV credit hours were reduced to ensure</t>
  </si>
  <si>
    <t xml:space="preserve">the dollars budgeted in this category better match the actual revenue results </t>
  </si>
  <si>
    <t xml:space="preserve">Due to the increase in the percentage of Dual Enrolled students </t>
  </si>
  <si>
    <t>expected.</t>
  </si>
  <si>
    <t xml:space="preserve">For Career Certificate and Dev Ed, the percentages used for budgeting are </t>
  </si>
  <si>
    <t xml:space="preserve">higher than the State estimate due to more closely matching actual results </t>
  </si>
  <si>
    <t>from the prior fiscal year.</t>
  </si>
  <si>
    <t>year.</t>
  </si>
  <si>
    <t>College's EPI estimate also more closely matched actual results from the prior</t>
  </si>
  <si>
    <t>Based on the actual revenue results for the past 2 years, the estimated out of</t>
  </si>
  <si>
    <t>state credit hours were adjusted to ensure the budgeted revenues</t>
  </si>
  <si>
    <t xml:space="preserve">in A &amp; P-lower level, PSV, and Dev Ed was aligned with expected </t>
  </si>
  <si>
    <t>revenue results for the 21-22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</si>
</sst>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767</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D18" sqref="D18"/>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St. Johns River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782</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14091707</v>
      </c>
      <c r="C10" s="580">
        <f>1656166-24734</f>
        <v>1631432</v>
      </c>
      <c r="D10" s="580">
        <v>24734</v>
      </c>
      <c r="E10" s="483">
        <f>SUM(B10:D10)</f>
        <v>15747873</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359380</v>
      </c>
      <c r="C12" s="570">
        <v>82521</v>
      </c>
      <c r="D12" s="570">
        <v>0</v>
      </c>
      <c r="E12" s="484">
        <f>SUM(B12:D12)</f>
        <v>441901</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3255088</v>
      </c>
      <c r="C14" s="582">
        <f>457118-4390</f>
        <v>452728</v>
      </c>
      <c r="D14" s="582">
        <f>25000+4390</f>
        <v>29390</v>
      </c>
      <c r="E14" s="484">
        <f t="shared" ref="E14:E20" si="0">SUM(B14:D14)</f>
        <v>3737206</v>
      </c>
      <c r="F14" s="460"/>
    </row>
    <row r="15" spans="1:8" s="37" customFormat="1" ht="20.100000000000001" customHeight="1">
      <c r="A15" s="482" t="s">
        <v>637</v>
      </c>
      <c r="B15" s="581">
        <v>0</v>
      </c>
      <c r="C15" s="570">
        <v>0</v>
      </c>
      <c r="D15" s="570">
        <v>0</v>
      </c>
      <c r="E15" s="484">
        <f>SUM(B15:D15)</f>
        <v>0</v>
      </c>
      <c r="F15" s="460"/>
    </row>
    <row r="16" spans="1:8" s="37" customFormat="1" ht="20.100000000000001" customHeight="1">
      <c r="A16" s="482" t="s">
        <v>638</v>
      </c>
      <c r="B16" s="581">
        <v>3256857</v>
      </c>
      <c r="C16" s="570">
        <f>277752-5864</f>
        <v>271888</v>
      </c>
      <c r="D16" s="570">
        <v>5864</v>
      </c>
      <c r="E16" s="484">
        <f t="shared" si="0"/>
        <v>3534609</v>
      </c>
      <c r="F16" s="460"/>
    </row>
    <row r="17" spans="1:6" s="37" customFormat="1" ht="20.100000000000001" customHeight="1">
      <c r="A17" s="482" t="s">
        <v>639</v>
      </c>
      <c r="B17" s="581">
        <f>5171235-3</f>
        <v>5171232</v>
      </c>
      <c r="C17" s="570">
        <f>2376179+2-18675</f>
        <v>2357506</v>
      </c>
      <c r="D17" s="570">
        <f>204595+18675</f>
        <v>223270</v>
      </c>
      <c r="E17" s="484">
        <f t="shared" si="0"/>
        <v>7752008</v>
      </c>
      <c r="F17" s="460"/>
    </row>
    <row r="18" spans="1:6" s="37" customFormat="1" ht="20.100000000000001" customHeight="1">
      <c r="A18" s="482" t="s">
        <v>640</v>
      </c>
      <c r="B18" s="581">
        <v>1898604</v>
      </c>
      <c r="C18" s="570">
        <v>4168867</v>
      </c>
      <c r="D18" s="570">
        <v>89250</v>
      </c>
      <c r="E18" s="484">
        <f t="shared" si="0"/>
        <v>6156721</v>
      </c>
      <c r="F18" s="460"/>
    </row>
    <row r="19" spans="1:6" s="37" customFormat="1" ht="20.100000000000001" customHeight="1">
      <c r="A19" s="482" t="s">
        <v>641</v>
      </c>
      <c r="B19" s="581">
        <v>137972</v>
      </c>
      <c r="C19" s="570">
        <v>0</v>
      </c>
      <c r="D19" s="570">
        <v>0</v>
      </c>
      <c r="E19" s="484">
        <f t="shared" si="0"/>
        <v>137972</v>
      </c>
      <c r="F19" s="460"/>
    </row>
    <row r="20" spans="1:6" s="37" customFormat="1" ht="20.100000000000001" customHeight="1" thickBot="1">
      <c r="A20" s="482" t="s">
        <v>642</v>
      </c>
      <c r="B20" s="581">
        <v>450000</v>
      </c>
      <c r="C20" s="571">
        <v>60000</v>
      </c>
      <c r="D20" s="571">
        <v>100000</v>
      </c>
      <c r="E20" s="484">
        <f t="shared" si="0"/>
        <v>610000</v>
      </c>
      <c r="F20" s="460"/>
    </row>
    <row r="21" spans="1:6" s="37" customFormat="1" ht="24" customHeight="1" thickBot="1">
      <c r="A21" s="380" t="s">
        <v>50</v>
      </c>
      <c r="B21" s="461">
        <f>SUM(B10:B20)</f>
        <v>28620840</v>
      </c>
      <c r="C21" s="464">
        <f>SUM(C10:C20)</f>
        <v>9024942</v>
      </c>
      <c r="D21" s="464">
        <f>SUM(D10:D20)</f>
        <v>472508</v>
      </c>
      <c r="E21" s="463">
        <f>SUM(E10:E20)</f>
        <v>38118290</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topLeftCell="A7"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zoomScale="60" zoomScaleNormal="60" zoomScaleSheetLayoutView="50" zoomScalePageLayoutView="60" workbookViewId="0">
      <selection activeCell="A7" sqref="A7"/>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St. Johns River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782</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742</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359380</v>
      </c>
      <c r="E15" s="938">
        <v>0</v>
      </c>
      <c r="F15" s="939">
        <f t="shared" si="0"/>
        <v>359380</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80000</v>
      </c>
      <c r="E16" s="938">
        <v>0</v>
      </c>
      <c r="F16" s="939">
        <f t="shared" si="0"/>
        <v>80000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29000</v>
      </c>
      <c r="E26" s="938">
        <v>0</v>
      </c>
      <c r="F26" s="939">
        <f t="shared" si="0"/>
        <v>29000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37013</v>
      </c>
      <c r="E28" s="938">
        <v>0</v>
      </c>
      <c r="F28" s="939">
        <f t="shared" si="0"/>
        <v>37013</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72250</v>
      </c>
      <c r="E34" s="938">
        <v>0</v>
      </c>
      <c r="F34" s="939">
        <f t="shared" si="0"/>
        <v>72250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39710</v>
      </c>
      <c r="E48" s="938">
        <v>0</v>
      </c>
      <c r="F48" s="939">
        <f t="shared" si="0"/>
        <v>39710</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54684</v>
      </c>
      <c r="E49" s="938">
        <v>0</v>
      </c>
      <c r="F49" s="939">
        <f t="shared" si="0"/>
        <v>54684</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39568</v>
      </c>
      <c r="E54" s="938">
        <v>0</v>
      </c>
      <c r="F54" s="939">
        <f t="shared" si="0"/>
        <v>39568</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711605</v>
      </c>
      <c r="E57" s="349">
        <f>SUM(E10:E56)</f>
        <v>0</v>
      </c>
      <c r="F57" s="349">
        <f t="shared" si="0"/>
        <v>711605</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6115</v>
      </c>
      <c r="E64" s="583">
        <v>0</v>
      </c>
      <c r="F64" s="307">
        <f t="shared" si="0"/>
        <v>6115</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250</v>
      </c>
      <c r="E67" s="938">
        <v>0</v>
      </c>
      <c r="F67" s="939">
        <f t="shared" si="0"/>
        <v>250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4500</v>
      </c>
      <c r="E79" s="938">
        <v>0</v>
      </c>
      <c r="F79" s="939">
        <f t="shared" si="0"/>
        <v>4500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2875</v>
      </c>
      <c r="E82" s="938">
        <v>0</v>
      </c>
      <c r="F82" s="939">
        <f t="shared" si="1"/>
        <v>2875</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1950</v>
      </c>
      <c r="E83" s="938">
        <v>0</v>
      </c>
      <c r="F83" s="939">
        <f t="shared" si="1"/>
        <v>1950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15690</v>
      </c>
      <c r="E102" s="345">
        <f>SUM(E64:E101)</f>
        <v>0</v>
      </c>
      <c r="F102" s="345">
        <f t="shared" si="1"/>
        <v>15690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790</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727295</v>
      </c>
      <c r="E120" s="345">
        <f>+E57+E102+E118</f>
        <v>0</v>
      </c>
      <c r="F120" s="345">
        <f>SUM(D120:E120)</f>
        <v>727295</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660888</v>
      </c>
      <c r="E125" s="938">
        <v>0</v>
      </c>
      <c r="F125" s="939">
        <f t="shared" ref="F125:F135" si="3">+D125+E125</f>
        <v>660888</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11201</v>
      </c>
      <c r="E126" s="938">
        <v>0</v>
      </c>
      <c r="F126" s="939">
        <f t="shared" si="3"/>
        <v>11201</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783</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55206</v>
      </c>
      <c r="E130" s="938">
        <v>0</v>
      </c>
      <c r="F130" s="939">
        <f t="shared" si="3"/>
        <v>55206</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727295</v>
      </c>
      <c r="E136" s="337">
        <f>SUM(E124:E135)</f>
        <v>0</v>
      </c>
      <c r="F136" s="338">
        <f>SUM(F124:F135)</f>
        <v>727295</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784</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7"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785</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786</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748</v>
      </c>
      <c r="C3" s="79"/>
      <c r="D3" s="88"/>
      <c r="E3" s="87"/>
      <c r="F3" s="25"/>
    </row>
    <row r="4" spans="1:10" ht="25.35" customHeight="1" thickBot="1">
      <c r="A4" s="77">
        <v>1</v>
      </c>
      <c r="B4" s="64">
        <v>2</v>
      </c>
      <c r="C4" s="64">
        <v>3</v>
      </c>
      <c r="D4" s="64">
        <v>4</v>
      </c>
      <c r="E4" s="68"/>
      <c r="F4" s="25"/>
    </row>
    <row r="5" spans="1:10" ht="44.1" customHeight="1">
      <c r="A5" s="771" t="s">
        <v>16</v>
      </c>
      <c r="B5" s="1285" t="s">
        <v>787</v>
      </c>
      <c r="C5" s="1286"/>
      <c r="D5" s="1287"/>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5" customHeight="1">
      <c r="A37" s="1308" t="s">
        <v>749</v>
      </c>
      <c r="B37" s="1308"/>
      <c r="C37" s="1308"/>
      <c r="D37" s="1308"/>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750</v>
      </c>
      <c r="B40" s="1176" t="s">
        <v>760</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753</v>
      </c>
      <c r="C48" s="1185"/>
      <c r="D48" s="1185">
        <v>1000000</v>
      </c>
      <c r="E48" s="793">
        <f t="shared" ref="E48:E51" si="2">C48+D48</f>
        <v>1000000</v>
      </c>
      <c r="H48" s="24"/>
    </row>
    <row r="49" spans="1:8" ht="42">
      <c r="A49" s="1191" t="s">
        <v>43</v>
      </c>
      <c r="B49" s="794" t="s">
        <v>754</v>
      </c>
      <c r="C49" s="792"/>
      <c r="D49" s="792">
        <v>510000</v>
      </c>
      <c r="E49" s="793">
        <f t="shared" si="2"/>
        <v>510000</v>
      </c>
      <c r="H49" s="24"/>
    </row>
    <row r="50" spans="1:8" ht="42">
      <c r="A50" s="1191" t="s">
        <v>43</v>
      </c>
      <c r="B50" s="794" t="s">
        <v>755</v>
      </c>
      <c r="C50" s="792"/>
      <c r="D50" s="792">
        <v>674484</v>
      </c>
      <c r="E50" s="793">
        <f t="shared" si="2"/>
        <v>674484</v>
      </c>
      <c r="H50" s="24"/>
    </row>
    <row r="51" spans="1:8" ht="42">
      <c r="A51" s="1191" t="s">
        <v>758</v>
      </c>
      <c r="B51" s="794" t="s">
        <v>756</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759</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757</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742</v>
      </c>
      <c r="B61" s="508" t="str">
        <f>B3</f>
        <v>Date Updated:   05.5.21    BY:  EN</v>
      </c>
      <c r="C61" s="53" t="s">
        <v>10</v>
      </c>
      <c r="D61" s="53"/>
      <c r="F61" s="24"/>
      <c r="G61" s="24"/>
      <c r="H61" s="24"/>
    </row>
    <row r="62" spans="1:8" ht="45" customHeight="1" thickBot="1">
      <c r="A62" s="1301" t="s">
        <v>761</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751</v>
      </c>
      <c r="B69" s="1305" t="str">
        <f>B3</f>
        <v>Date Updated:   05.5.21    BY:  EN</v>
      </c>
      <c r="C69" s="1306"/>
      <c r="D69" s="1306"/>
      <c r="E69" s="1307"/>
      <c r="F69" s="21"/>
      <c r="G69" s="53"/>
      <c r="H69" s="24"/>
    </row>
    <row r="70" spans="1:13" ht="87.6" customHeight="1" thickBot="1">
      <c r="A70" s="50" t="s">
        <v>17</v>
      </c>
      <c r="B70" s="30" t="s">
        <v>752</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766</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3"/>
      <c r="F107" s="603"/>
      <c r="G107" s="603"/>
      <c r="H107" s="27"/>
      <c r="I107" s="27"/>
      <c r="J107" s="27"/>
      <c r="K107" s="27"/>
    </row>
    <row r="108" spans="1:54" ht="43.35" customHeight="1" thickBot="1">
      <c r="A108" s="58" t="s">
        <v>762</v>
      </c>
      <c r="B108" s="1276" t="s">
        <v>765</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320"/>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763</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764</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789</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81" sqref="C8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741</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42</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788</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0.22187240995113802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742</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7200</v>
      </c>
      <c r="E44" s="140">
        <f>+'EXHIBIT C'!F10</f>
        <v>7200</v>
      </c>
      <c r="F44" s="141">
        <f t="shared" ref="F44:F50" si="0">IF(D44=0,"0",(E44/D44-1))</f>
        <v>0</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63002.393133625039</v>
      </c>
      <c r="E45" s="144">
        <f>+'EXHIBIT C'!F11</f>
        <v>64590</v>
      </c>
      <c r="F45" s="823">
        <f t="shared" si="0"/>
        <v>2.5199151768849903E-2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24480.448537378114</v>
      </c>
      <c r="E46" s="827">
        <f>+'EXHIBIT C'!F12</f>
        <v>23250</v>
      </c>
      <c r="F46" s="823">
        <f t="shared" si="0"/>
        <v>-5.0262499704586516E-2</v>
      </c>
      <c r="G46" s="824"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2653.5683576956148</v>
      </c>
      <c r="E47" s="827">
        <f>+'EXHIBIT C'!F13</f>
        <v>2820</v>
      </c>
      <c r="F47" s="823">
        <f t="shared" si="0"/>
        <v>6.2719937785554514E-2</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954.8520710059172</v>
      </c>
      <c r="E48" s="827">
        <f>+'EXHIBIT C'!F14</f>
        <v>1050</v>
      </c>
      <c r="F48" s="823">
        <f t="shared" si="0"/>
        <v>9.9646774493400203E-2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1170</v>
      </c>
      <c r="E49" s="830">
        <f>+'EXHIBIT C'!F15</f>
        <v>1110</v>
      </c>
      <c r="F49" s="831">
        <f t="shared" si="0"/>
        <v>-5.1282051282051322E-2</v>
      </c>
      <c r="G49" s="832" t="str">
        <f t="shared" si="1"/>
        <v>YES</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99461.262099704691</v>
      </c>
      <c r="E50" s="147">
        <f>+'EXHIBIT C'!F17</f>
        <v>100020</v>
      </c>
      <c r="F50" s="148">
        <f t="shared" si="0"/>
        <v>5.6176433769279388E-3</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796</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t="s">
        <v>794</v>
      </c>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t="s">
        <v>795</v>
      </c>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t="s">
        <v>797</v>
      </c>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t="s">
        <v>798</v>
      </c>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t="s">
        <v>799</v>
      </c>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t="s">
        <v>800</v>
      </c>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t="s">
        <v>802</v>
      </c>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t="s">
        <v>801</v>
      </c>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30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1487.2953703987027</v>
      </c>
      <c r="E69" s="161">
        <f>+'EXHIBIT C'!D20</f>
        <v>2130</v>
      </c>
      <c r="F69" s="834">
        <f t="shared" si="2"/>
        <v>0.43212978564507054</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335.63596966413866</v>
      </c>
      <c r="E70" s="837">
        <f>+'EXHIBIT C'!D21</f>
        <v>570</v>
      </c>
      <c r="F70" s="834">
        <f t="shared" si="2"/>
        <v>0.69826851564920989</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0</v>
      </c>
      <c r="E71" s="837">
        <f>+'EXHIBIT C'!D22</f>
        <v>60</v>
      </c>
      <c r="F71" s="834" t="str">
        <f t="shared" si="2"/>
        <v>0</v>
      </c>
      <c r="G71" s="835"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35.147928994082839</v>
      </c>
      <c r="E72" s="837">
        <f>+'EXHIBIT C'!D23</f>
        <v>60</v>
      </c>
      <c r="F72" s="834">
        <f t="shared" si="2"/>
        <v>0.70707070707070718</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1858.0792690569242</v>
      </c>
      <c r="E74" s="163">
        <f>SUM(E68:E73)</f>
        <v>2850</v>
      </c>
      <c r="F74" s="164">
        <f t="shared" si="2"/>
        <v>0.53384198804743632</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t="s">
        <v>803</v>
      </c>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t="s">
        <v>804</v>
      </c>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t="s">
        <v>805</v>
      </c>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t="s">
        <v>806</v>
      </c>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21776932</v>
      </c>
      <c r="E102" s="846">
        <f>+'EXHIBIT D'!G75</f>
        <v>21776932</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249706</v>
      </c>
      <c r="E103" s="846">
        <f>'EXHIBIT D'!G77</f>
        <v>249706</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3236588</v>
      </c>
      <c r="E104" s="846">
        <f>'EXHIBIT D'!G81</f>
        <v>3236588</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25263226</v>
      </c>
      <c r="E106" s="179">
        <f t="shared" ref="E106:F106" si="4">SUM(E102:E104)</f>
        <v>25263226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747</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11196475</v>
      </c>
      <c r="D119" s="1002" t="s">
        <v>745</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11196475</v>
      </c>
      <c r="D120" s="1005" t="s">
        <v>746</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22373278</v>
      </c>
      <c r="D126" s="37" t="s">
        <v>743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22573278</v>
      </c>
      <c r="D127" s="37" t="s">
        <v>744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-200000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200000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373.36666666666667</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768</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St. Johns River State College</v>
      </c>
      <c r="D8" s="1053"/>
      <c r="E8" s="1053"/>
      <c r="F8" s="434"/>
      <c r="G8" s="434"/>
    </row>
    <row r="9" spans="2:7" ht="25.35" customHeight="1">
      <c r="D9" s="151"/>
      <c r="E9" s="151"/>
      <c r="F9" s="151"/>
      <c r="G9" s="151"/>
    </row>
    <row r="10" spans="2:7" ht="41.45" customHeight="1">
      <c r="E10" s="722" t="s">
        <v>195</v>
      </c>
    </row>
    <row r="11" spans="2:7" ht="25.35" customHeight="1">
      <c r="B11" s="114" t="s">
        <v>769</v>
      </c>
      <c r="D11" s="114"/>
      <c r="E11" s="202"/>
    </row>
    <row r="12" spans="2:7" ht="25.35" customHeight="1">
      <c r="B12" s="114"/>
      <c r="C12" s="114"/>
      <c r="D12" s="114"/>
    </row>
    <row r="13" spans="2:7" ht="25.35" customHeight="1">
      <c r="B13" s="37" t="s">
        <v>777</v>
      </c>
      <c r="C13" s="114"/>
      <c r="D13" s="114"/>
      <c r="E13" s="585">
        <v>-9518078</v>
      </c>
    </row>
    <row r="14" spans="2:7" ht="25.35" customHeight="1">
      <c r="B14" s="37" t="s">
        <v>196</v>
      </c>
      <c r="D14" s="114"/>
      <c r="E14" s="723">
        <v>22373278</v>
      </c>
    </row>
    <row r="15" spans="2:7" ht="25.35" customHeight="1">
      <c r="B15" s="114"/>
      <c r="C15" s="24"/>
      <c r="D15" s="114"/>
      <c r="E15" s="203"/>
    </row>
    <row r="16" spans="2:7" ht="25.35" customHeight="1">
      <c r="B16" s="24" t="s">
        <v>770</v>
      </c>
      <c r="C16" s="114"/>
      <c r="D16" s="35"/>
      <c r="E16" s="724">
        <f>+E14+E13</f>
        <v>12855200</v>
      </c>
    </row>
    <row r="17" spans="2:7" ht="25.35" customHeight="1">
      <c r="B17" s="114"/>
      <c r="C17" s="35"/>
      <c r="D17" s="114"/>
      <c r="E17" s="204"/>
    </row>
    <row r="18" spans="2:7" ht="25.35" customHeight="1">
      <c r="B18" s="37" t="s">
        <v>197</v>
      </c>
      <c r="C18" s="114"/>
      <c r="D18" s="114"/>
      <c r="E18" s="216">
        <f>+'EXHIBIT D'!G143-SUM(+'EXHIBIT D'!G132+'EXHIBIT D'!G133+'EXHIBIT D'!G134+'EXHIBIT D'!G135)</f>
        <v>37535375</v>
      </c>
      <c r="G18" s="205"/>
    </row>
    <row r="19" spans="2:7" ht="25.35" customHeight="1">
      <c r="B19" s="37" t="s">
        <v>198</v>
      </c>
      <c r="D19" s="114"/>
      <c r="E19" s="724">
        <f>+'EXHIBIT D'!G132+'EXHIBIT D'!G133+'EXHIBIT D'!G134+'EXHIBIT D'!G135</f>
        <v>73000</v>
      </c>
    </row>
    <row r="20" spans="2:7" ht="25.35" customHeight="1">
      <c r="B20" s="114"/>
      <c r="D20" s="114"/>
      <c r="E20" s="211"/>
    </row>
    <row r="21" spans="2:7" ht="25.35" customHeight="1">
      <c r="B21" s="37" t="s">
        <v>199</v>
      </c>
      <c r="C21" s="114"/>
      <c r="D21" s="114"/>
      <c r="E21" s="725">
        <f>+E19+E18</f>
        <v>37608375</v>
      </c>
    </row>
    <row r="22" spans="2:7" ht="25.35" customHeight="1">
      <c r="B22" s="114"/>
      <c r="C22" s="114"/>
      <c r="D22" s="114"/>
      <c r="E22" s="211"/>
    </row>
    <row r="23" spans="2:7" ht="25.35" customHeight="1">
      <c r="B23" s="114" t="s">
        <v>200</v>
      </c>
      <c r="C23" s="114"/>
      <c r="D23" s="114"/>
      <c r="E23" s="725">
        <f>+E21+E16</f>
        <v>50463575</v>
      </c>
    </row>
    <row r="24" spans="2:7" ht="25.35" customHeight="1">
      <c r="B24" s="114"/>
      <c r="C24" s="114"/>
      <c r="D24" s="114"/>
      <c r="E24" s="211"/>
    </row>
    <row r="25" spans="2:7" ht="25.35" customHeight="1">
      <c r="B25" s="37" t="s">
        <v>201</v>
      </c>
      <c r="C25" s="114"/>
      <c r="D25" s="114"/>
      <c r="E25" s="217">
        <f>'EXHIBIT D'!G256-SUM(+'EXHIBIT D'!G229+'EXHIBIT D'!G230+'EXHIBIT D'!G231+'EXHIBIT D'!G232+'EXHIBIT D'!G233)</f>
        <v>38118290</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38118290</v>
      </c>
    </row>
    <row r="29" spans="2:7" ht="25.35" customHeight="1">
      <c r="B29" s="114"/>
      <c r="C29" s="114"/>
      <c r="D29" s="114"/>
      <c r="E29" s="206"/>
    </row>
    <row r="30" spans="2:7" ht="25.35" customHeight="1">
      <c r="B30" s="114" t="s">
        <v>771</v>
      </c>
      <c r="C30" s="114"/>
      <c r="D30" s="114"/>
      <c r="E30" s="206"/>
    </row>
    <row r="31" spans="2:7" ht="25.35" customHeight="1">
      <c r="B31" s="114"/>
      <c r="C31" s="114"/>
      <c r="D31" s="114"/>
      <c r="E31" s="206"/>
    </row>
    <row r="32" spans="2:7" ht="25.35" customHeight="1">
      <c r="B32" s="37" t="s">
        <v>204</v>
      </c>
      <c r="C32" s="114"/>
      <c r="D32" s="207">
        <f>+E23-E28</f>
        <v>12345285</v>
      </c>
      <c r="E32" s="206"/>
    </row>
    <row r="33" spans="2:10" ht="25.35" customHeight="1">
      <c r="B33" s="24" t="s">
        <v>205</v>
      </c>
      <c r="C33" s="114"/>
      <c r="D33" s="727">
        <f>+'EXHIBIT D'!G187</f>
        <v>200000</v>
      </c>
      <c r="E33" s="206"/>
      <c r="J33" s="151"/>
    </row>
    <row r="34" spans="2:10" ht="25.35" customHeight="1">
      <c r="B34" s="114"/>
      <c r="D34" s="114"/>
      <c r="E34" s="206"/>
      <c r="J34" s="208"/>
    </row>
    <row r="35" spans="2:10" ht="25.35" customHeight="1">
      <c r="B35" s="37" t="s">
        <v>772</v>
      </c>
      <c r="C35" s="114"/>
      <c r="D35" s="114"/>
      <c r="E35" s="209">
        <f>+D32+D33</f>
        <v>12545285</v>
      </c>
      <c r="J35" s="151"/>
    </row>
    <row r="36" spans="2:10" ht="25.35" customHeight="1">
      <c r="B36" s="37" t="s">
        <v>773</v>
      </c>
      <c r="C36" s="114"/>
      <c r="D36" s="114"/>
      <c r="E36" s="725">
        <f>-'EXHIBIT D'!G272</f>
        <v>22573278</v>
      </c>
      <c r="J36" s="210"/>
    </row>
    <row r="37" spans="2:10" ht="25.35" customHeight="1">
      <c r="D37" s="114"/>
      <c r="E37" s="209"/>
      <c r="J37" s="151"/>
    </row>
    <row r="38" spans="2:10" ht="25.35" customHeight="1">
      <c r="B38" s="114" t="s">
        <v>774</v>
      </c>
      <c r="D38" s="114"/>
      <c r="E38" s="724">
        <f>+E35-E36</f>
        <v>-10027993</v>
      </c>
      <c r="J38" s="151"/>
    </row>
    <row r="39" spans="2:10" ht="25.35" customHeight="1">
      <c r="B39" s="114"/>
      <c r="C39" s="114"/>
      <c r="D39" s="114"/>
      <c r="E39" s="211"/>
    </row>
    <row r="40" spans="2:10" ht="25.35" customHeight="1">
      <c r="B40" s="24" t="s">
        <v>775</v>
      </c>
      <c r="C40" s="114"/>
      <c r="D40" s="35"/>
      <c r="E40" s="726">
        <f>'EXHIBIT D'!G261+'EXHIBIT D'!G262+'EXHIBIT D'!G263+'EXHIBIT D'!G264+'EXHIBIT D'!G265+'EXHIBIT D'!G266+'EXHIBIT D'!G267+'EXHIBIT D'!G268</f>
        <v>11196475</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776</v>
      </c>
      <c r="C44" s="114"/>
      <c r="D44" s="114"/>
      <c r="E44" s="728">
        <f>+E40/E23</f>
        <v>0.22187240995113802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B15" sqref="B15"/>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778</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St. Johns River State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4.51</v>
      </c>
      <c r="D14" s="1215">
        <v>9.18</v>
      </c>
      <c r="E14" s="1215">
        <v>12.68</v>
      </c>
      <c r="F14" s="1215">
        <v>4.59</v>
      </c>
      <c r="G14" s="857">
        <f>SUM(B14:F14)</f>
        <v>122.75000000000003</v>
      </c>
      <c r="H14" s="477">
        <f>G14*30</f>
        <v>3682.5000000000009</v>
      </c>
      <c r="I14" s="24"/>
    </row>
    <row r="15" spans="1:18" s="37" customFormat="1" ht="20.100000000000001" customHeight="1">
      <c r="A15" s="114" t="s">
        <v>223</v>
      </c>
      <c r="B15" s="1216">
        <v>78.84</v>
      </c>
      <c r="C15" s="1216">
        <v>3.51</v>
      </c>
      <c r="D15" s="1216">
        <v>7.88</v>
      </c>
      <c r="E15" s="1216">
        <v>11.83</v>
      </c>
      <c r="F15" s="1216">
        <v>3.94</v>
      </c>
      <c r="G15" s="857">
        <f>SUM(B15:F15)</f>
        <v>106</v>
      </c>
      <c r="H15" s="440">
        <f>G15*30</f>
        <v>3180</v>
      </c>
      <c r="I15" s="24"/>
    </row>
    <row r="16" spans="1:18" s="37" customFormat="1" ht="20.100000000000001" customHeight="1" thickBot="1">
      <c r="A16" s="35" t="s">
        <v>87</v>
      </c>
      <c r="B16" s="1217">
        <v>69.930000000000007</v>
      </c>
      <c r="C16" s="1217">
        <v>3.57</v>
      </c>
      <c r="D16" s="1218"/>
      <c r="E16" s="1217">
        <v>3.5</v>
      </c>
      <c r="F16" s="1217">
        <v>3.5</v>
      </c>
      <c r="G16" s="441">
        <f>SUM(B16:F16)</f>
        <v>80.5</v>
      </c>
      <c r="H16" s="858">
        <f>G16*30</f>
        <v>2415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373.36</v>
      </c>
      <c r="D29" s="1215">
        <v>23.18</v>
      </c>
      <c r="E29" s="680">
        <f>D14</f>
        <v>9.18</v>
      </c>
      <c r="F29" s="1215">
        <v>47.24</v>
      </c>
      <c r="G29" s="1215">
        <v>23.25</v>
      </c>
      <c r="H29" s="451">
        <f>SUM(B29:G29)</f>
        <v>568</v>
      </c>
      <c r="I29" s="471">
        <f>H29*30</f>
        <v>17040</v>
      </c>
      <c r="J29" s="24"/>
    </row>
    <row r="30" spans="1:11" s="37" customFormat="1" ht="20.100000000000001" customHeight="1">
      <c r="A30" s="114" t="str">
        <f t="shared" si="0"/>
        <v>LOWER LEVEL - CREDIT (A &amp; P, PSV, DEVELOPMENTAL EDUCATION AND EPI)</v>
      </c>
      <c r="B30" s="861">
        <f t="shared" si="0"/>
        <v>78.84</v>
      </c>
      <c r="C30" s="1219">
        <v>236.69</v>
      </c>
      <c r="D30" s="1219">
        <v>14.2</v>
      </c>
      <c r="E30" s="862">
        <f>D15</f>
        <v>7.88</v>
      </c>
      <c r="F30" s="1219">
        <v>33.549999999999997</v>
      </c>
      <c r="G30" s="1219">
        <v>15.78</v>
      </c>
      <c r="H30" s="857">
        <f>SUM(B30:G30)</f>
        <v>386.93999999999994</v>
      </c>
      <c r="I30" s="440">
        <f>H30*30</f>
        <v>11608.199999999999</v>
      </c>
    </row>
    <row r="31" spans="1:11" s="37" customFormat="1" ht="20.100000000000001" customHeight="1" thickBot="1">
      <c r="A31" s="114" t="str">
        <f t="shared" si="0"/>
        <v>CAREER CERTIFICATE AND APPLIED TECHNOLOGY DIPLOMA</v>
      </c>
      <c r="B31" s="530">
        <f t="shared" si="0"/>
        <v>69.930000000000007</v>
      </c>
      <c r="C31" s="1216">
        <v>209.79</v>
      </c>
      <c r="D31" s="1216">
        <v>14.55</v>
      </c>
      <c r="E31" s="408"/>
      <c r="F31" s="1216">
        <v>13.99</v>
      </c>
      <c r="G31" s="1216">
        <v>13.99</v>
      </c>
      <c r="H31" s="441">
        <f>SUM(B31:G31)</f>
        <v>322.25000000000006</v>
      </c>
      <c r="I31" s="858">
        <f>H31*30</f>
        <v>9667.5000000000018</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779</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election activeCell="E40" sqref="E40"/>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780</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St. Johns River State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7350</v>
      </c>
      <c r="E10" s="684">
        <v>150</v>
      </c>
      <c r="F10" s="685">
        <f t="shared" ref="F10:F15" si="0">+D10-E10</f>
        <v>7200</v>
      </c>
      <c r="G10" s="685">
        <f>'EXHIBIT B'!B14</f>
        <v>91.79</v>
      </c>
      <c r="H10" s="686">
        <f>ROUND(+F10*G10,0)</f>
        <v>660888</v>
      </c>
      <c r="I10" s="151"/>
      <c r="J10" s="151"/>
    </row>
    <row r="11" spans="1:10" ht="20.100000000000001" customHeight="1">
      <c r="A11" s="868" t="s">
        <v>216</v>
      </c>
      <c r="B11" s="868" t="s">
        <v>140</v>
      </c>
      <c r="C11" s="869" t="s">
        <v>244</v>
      </c>
      <c r="D11" s="867">
        <v>95010</v>
      </c>
      <c r="E11" s="867">
        <v>30420</v>
      </c>
      <c r="F11" s="870">
        <f t="shared" si="0"/>
        <v>64590</v>
      </c>
      <c r="G11" s="870">
        <f>+'EXHIBIT B'!B15</f>
        <v>78.84</v>
      </c>
      <c r="H11" s="871">
        <f t="shared" ref="H11:H15" si="1">ROUND(+F11*G11,0)</f>
        <v>5092276</v>
      </c>
      <c r="I11" s="151"/>
      <c r="J11" s="151"/>
    </row>
    <row r="12" spans="1:10" ht="20.100000000000001" customHeight="1">
      <c r="A12" s="868" t="s">
        <v>216</v>
      </c>
      <c r="B12" s="868" t="s">
        <v>141</v>
      </c>
      <c r="C12" s="869" t="s">
        <v>245</v>
      </c>
      <c r="D12" s="867">
        <v>28170</v>
      </c>
      <c r="E12" s="867">
        <v>4920</v>
      </c>
      <c r="F12" s="870">
        <f t="shared" si="0"/>
        <v>23250</v>
      </c>
      <c r="G12" s="870">
        <f>+'EXHIBIT B'!B15</f>
        <v>78.84</v>
      </c>
      <c r="H12" s="871">
        <f t="shared" si="1"/>
        <v>1833030</v>
      </c>
      <c r="I12" s="151"/>
      <c r="J12" s="151"/>
    </row>
    <row r="13" spans="1:10" ht="20.100000000000001" customHeight="1">
      <c r="A13" s="868" t="s">
        <v>216</v>
      </c>
      <c r="B13" s="868" t="s">
        <v>87</v>
      </c>
      <c r="C13" s="869" t="s">
        <v>246</v>
      </c>
      <c r="D13" s="872">
        <v>2850</v>
      </c>
      <c r="E13" s="872">
        <v>30</v>
      </c>
      <c r="F13" s="870">
        <f t="shared" si="0"/>
        <v>2820</v>
      </c>
      <c r="G13" s="870">
        <f>+'EXHIBIT B'!B16</f>
        <v>69.930000000000007</v>
      </c>
      <c r="H13" s="871">
        <f t="shared" si="1"/>
        <v>197203</v>
      </c>
      <c r="I13" s="151"/>
      <c r="J13" s="151"/>
    </row>
    <row r="14" spans="1:10" ht="20.100000000000001" customHeight="1">
      <c r="A14" s="868" t="s">
        <v>216</v>
      </c>
      <c r="B14" s="868" t="s">
        <v>142</v>
      </c>
      <c r="C14" s="869" t="s">
        <v>247</v>
      </c>
      <c r="D14" s="867">
        <v>1050</v>
      </c>
      <c r="E14" s="867">
        <v>0</v>
      </c>
      <c r="F14" s="870">
        <f t="shared" si="0"/>
        <v>1050</v>
      </c>
      <c r="G14" s="870">
        <f>+'EXHIBIT B'!B15</f>
        <v>78.84</v>
      </c>
      <c r="H14" s="871">
        <f t="shared" si="1"/>
        <v>82782</v>
      </c>
      <c r="I14" s="151"/>
      <c r="J14" s="151"/>
    </row>
    <row r="15" spans="1:10" ht="20.100000000000001" customHeight="1" thickBot="1">
      <c r="A15" s="873" t="s">
        <v>216</v>
      </c>
      <c r="B15" s="873" t="s">
        <v>143</v>
      </c>
      <c r="C15" s="874">
        <v>40160</v>
      </c>
      <c r="D15" s="875">
        <v>1110</v>
      </c>
      <c r="E15" s="875">
        <v>0</v>
      </c>
      <c r="F15" s="876">
        <f t="shared" si="0"/>
        <v>1110</v>
      </c>
      <c r="G15" s="876">
        <f>+'EXHIBIT B'!B15</f>
        <v>78.84</v>
      </c>
      <c r="H15" s="877">
        <f t="shared" si="1"/>
        <v>87512</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135540</v>
      </c>
      <c r="E17" s="389">
        <f>SUM(E10:E15)</f>
        <v>35520</v>
      </c>
      <c r="F17" s="390">
        <f>SUM(F10:F15)</f>
        <v>100020</v>
      </c>
      <c r="G17" s="390"/>
      <c r="H17" s="391">
        <f>SUM(H10:H15)</f>
        <v>7953691</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30</v>
      </c>
      <c r="E19" s="880">
        <f>'EXHIBIT B'!C29</f>
        <v>373.36</v>
      </c>
      <c r="F19" s="881">
        <f t="shared" ref="F19:F24" si="2">ROUND(+D19*E19,0)</f>
        <v>11201</v>
      </c>
      <c r="G19" s="393"/>
      <c r="H19" s="393"/>
    </row>
    <row r="20" spans="1:10" ht="20.100000000000001" customHeight="1">
      <c r="A20" s="882" t="s">
        <v>231</v>
      </c>
      <c r="B20" s="882" t="s">
        <v>140</v>
      </c>
      <c r="C20" s="883" t="s">
        <v>251</v>
      </c>
      <c r="D20" s="890">
        <v>2130</v>
      </c>
      <c r="E20" s="884">
        <f>+'EXHIBIT B'!C30</f>
        <v>236.69</v>
      </c>
      <c r="F20" s="885">
        <f t="shared" si="2"/>
        <v>504150</v>
      </c>
      <c r="G20" s="394"/>
      <c r="H20" s="394"/>
    </row>
    <row r="21" spans="1:10" ht="20.100000000000001" customHeight="1">
      <c r="A21" s="882" t="s">
        <v>231</v>
      </c>
      <c r="B21" s="882" t="s">
        <v>141</v>
      </c>
      <c r="C21" s="883" t="s">
        <v>252</v>
      </c>
      <c r="D21" s="890">
        <v>570</v>
      </c>
      <c r="E21" s="884">
        <f>+'EXHIBIT B'!C30</f>
        <v>236.69</v>
      </c>
      <c r="F21" s="885">
        <f t="shared" si="2"/>
        <v>134913</v>
      </c>
      <c r="G21" s="394"/>
      <c r="H21" s="394"/>
    </row>
    <row r="22" spans="1:10" ht="20.100000000000001" customHeight="1">
      <c r="A22" s="882" t="s">
        <v>231</v>
      </c>
      <c r="B22" s="882" t="s">
        <v>87</v>
      </c>
      <c r="C22" s="883" t="s">
        <v>253</v>
      </c>
      <c r="D22" s="890">
        <v>60</v>
      </c>
      <c r="E22" s="884">
        <f>+'EXHIBIT B'!C31</f>
        <v>209.79</v>
      </c>
      <c r="F22" s="885">
        <f t="shared" si="2"/>
        <v>12587</v>
      </c>
      <c r="G22" s="394"/>
      <c r="H22" s="394"/>
    </row>
    <row r="23" spans="1:10" ht="20.100000000000001" customHeight="1">
      <c r="A23" s="882" t="s">
        <v>231</v>
      </c>
      <c r="B23" s="882" t="s">
        <v>142</v>
      </c>
      <c r="C23" s="883" t="s">
        <v>254</v>
      </c>
      <c r="D23" s="890">
        <v>60</v>
      </c>
      <c r="E23" s="884">
        <f>+'EXHIBIT B'!C30</f>
        <v>236.69</v>
      </c>
      <c r="F23" s="885">
        <f t="shared" si="2"/>
        <v>14201</v>
      </c>
      <c r="G23" s="394"/>
      <c r="H23" s="394"/>
    </row>
    <row r="24" spans="1:10" ht="20.100000000000001" customHeight="1" thickBot="1">
      <c r="A24" s="751" t="s">
        <v>231</v>
      </c>
      <c r="B24" s="751" t="s">
        <v>143</v>
      </c>
      <c r="C24" s="752">
        <v>40360</v>
      </c>
      <c r="D24" s="1221">
        <v>0</v>
      </c>
      <c r="E24" s="753">
        <f>+'EXHIBIT B'!C30</f>
        <v>236.69</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2850</v>
      </c>
      <c r="E26" s="888"/>
      <c r="F26" s="889">
        <f>SUM(F19:F24)</f>
        <v>677052</v>
      </c>
      <c r="G26" s="398"/>
      <c r="H26" s="398"/>
    </row>
    <row r="27" spans="1:10" ht="20.100000000000001" customHeight="1" thickBot="1">
      <c r="A27" s="399" t="s">
        <v>255</v>
      </c>
      <c r="B27" s="399"/>
      <c r="C27" s="399"/>
      <c r="D27" s="399"/>
      <c r="E27" s="399"/>
      <c r="F27" s="400"/>
      <c r="G27" s="687"/>
      <c r="H27" s="401">
        <f>H17+F26</f>
        <v>8630743</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340</v>
      </c>
      <c r="E33" s="890">
        <v>0</v>
      </c>
      <c r="F33" s="884">
        <f>D33-E33</f>
        <v>340</v>
      </c>
      <c r="G33" s="884">
        <f>'EXHIBIT B'!B20</f>
        <v>30</v>
      </c>
      <c r="H33" s="885">
        <f>ROUND(+F33*G33,0)</f>
        <v>10200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340</v>
      </c>
      <c r="E36" s="404">
        <f>SUM(E32:E35)</f>
        <v>0</v>
      </c>
      <c r="F36" s="405">
        <f>D36-E36</f>
        <v>340</v>
      </c>
      <c r="G36" s="405"/>
      <c r="H36" s="406">
        <f>SUM(H32:H35)</f>
        <v>10200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10200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8640943</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2">
        <v>0</v>
      </c>
      <c r="C54" s="1224"/>
      <c r="D54" s="1225"/>
      <c r="E54" s="1224"/>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791</v>
      </c>
      <c r="B63" s="1223">
        <v>73000</v>
      </c>
      <c r="C63" s="1224" t="s">
        <v>792</v>
      </c>
      <c r="D63" s="1225"/>
      <c r="E63" s="1224" t="s">
        <v>793</v>
      </c>
      <c r="F63" s="1225"/>
      <c r="I63" s="151"/>
    </row>
    <row r="64" spans="1:10" ht="24.95" customHeight="1">
      <c r="A64" s="897"/>
      <c r="B64" s="890">
        <v>0</v>
      </c>
      <c r="C64" s="1226"/>
      <c r="D64" s="1227"/>
      <c r="E64" s="1226"/>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73000</v>
      </c>
      <c r="C69" s="1234"/>
      <c r="D69" s="1235"/>
      <c r="E69" s="1234"/>
      <c r="F69" s="1235"/>
    </row>
    <row r="70" spans="1:9" ht="24.95" customHeight="1" thickBot="1">
      <c r="A70" s="377" t="s">
        <v>281</v>
      </c>
      <c r="B70" s="378">
        <f>+B69+B60</f>
        <v>73000</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St. Johns River State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163" zoomScale="70" zoomScaleNormal="70" zoomScaleSheetLayoutView="70" zoomScalePageLayoutView="70" workbookViewId="0">
      <selection activeCell="G187" sqref="G187"/>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St. Johns River State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781</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660888</v>
      </c>
      <c r="H12" s="222"/>
    </row>
    <row r="13" spans="1:8" ht="20.100000000000001" customHeight="1">
      <c r="A13" s="629" t="s">
        <v>216</v>
      </c>
      <c r="B13" s="229"/>
      <c r="C13" s="222" t="s">
        <v>140</v>
      </c>
      <c r="D13" s="229"/>
      <c r="E13" s="229"/>
      <c r="F13" s="235" t="s">
        <v>244</v>
      </c>
      <c r="G13" s="234">
        <f>+'EXHIBIT C'!H11+'EXHIBIT C(2)'!E14</f>
        <v>5092276</v>
      </c>
      <c r="H13" s="222"/>
    </row>
    <row r="14" spans="1:8" ht="20.100000000000001" customHeight="1">
      <c r="A14" s="629" t="s">
        <v>216</v>
      </c>
      <c r="B14" s="229"/>
      <c r="C14" s="229" t="s">
        <v>141</v>
      </c>
      <c r="D14" s="229"/>
      <c r="E14" s="229"/>
      <c r="F14" s="235" t="s">
        <v>245</v>
      </c>
      <c r="G14" s="653">
        <f>+'EXHIBIT C'!H12+'EXHIBIT C(2)'!E15</f>
        <v>1833030</v>
      </c>
      <c r="H14" s="222"/>
    </row>
    <row r="15" spans="1:8" ht="20.100000000000001" customHeight="1">
      <c r="A15" s="629" t="s">
        <v>216</v>
      </c>
      <c r="B15" s="229"/>
      <c r="C15" s="236" t="s">
        <v>298</v>
      </c>
      <c r="D15" s="229"/>
      <c r="E15" s="229"/>
      <c r="F15" s="235" t="s">
        <v>246</v>
      </c>
      <c r="G15" s="653">
        <f>+'EXHIBIT C'!H13+'EXHIBIT C(2)'!E16</f>
        <v>197203</v>
      </c>
      <c r="H15" s="222"/>
    </row>
    <row r="16" spans="1:8" ht="20.100000000000001" customHeight="1">
      <c r="A16" s="629" t="s">
        <v>216</v>
      </c>
      <c r="B16" s="229"/>
      <c r="C16" s="236" t="s">
        <v>299</v>
      </c>
      <c r="D16" s="229"/>
      <c r="E16" s="229"/>
      <c r="F16" s="235" t="s">
        <v>247</v>
      </c>
      <c r="G16" s="654">
        <f>+'EXHIBIT C'!H14+'EXHIBIT C(2)'!E17</f>
        <v>82782</v>
      </c>
      <c r="H16" s="222"/>
    </row>
    <row r="17" spans="1:8" ht="20.100000000000001" customHeight="1">
      <c r="A17" s="629" t="s">
        <v>216</v>
      </c>
      <c r="B17" s="229"/>
      <c r="C17" s="222" t="s">
        <v>143</v>
      </c>
      <c r="D17" s="229"/>
      <c r="E17" s="229"/>
      <c r="F17" s="238">
        <v>40160</v>
      </c>
      <c r="G17" s="654">
        <f>+'EXHIBIT C'!H15+'EXHIBIT C(2)'!E18</f>
        <v>87512</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7953691</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11201</v>
      </c>
      <c r="H21" s="666"/>
    </row>
    <row r="22" spans="1:8" ht="20.100000000000001" customHeight="1">
      <c r="A22" s="630" t="s">
        <v>231</v>
      </c>
      <c r="B22" s="229"/>
      <c r="C22" s="222" t="s">
        <v>140</v>
      </c>
      <c r="D22" s="229"/>
      <c r="E22" s="229"/>
      <c r="F22" s="235" t="s">
        <v>251</v>
      </c>
      <c r="G22" s="240">
        <f>+'EXHIBIT C'!F20+'EXHIBIT C(2)'!E23</f>
        <v>504150</v>
      </c>
      <c r="H22" s="222"/>
    </row>
    <row r="23" spans="1:8" ht="20.100000000000001" customHeight="1">
      <c r="A23" s="630" t="s">
        <v>231</v>
      </c>
      <c r="B23" s="229"/>
      <c r="C23" s="229" t="s">
        <v>141</v>
      </c>
      <c r="D23" s="229"/>
      <c r="E23" s="229"/>
      <c r="F23" s="235" t="s">
        <v>252</v>
      </c>
      <c r="G23" s="245">
        <f>+'EXHIBIT C'!F21+'EXHIBIT C(2)'!E24</f>
        <v>134913</v>
      </c>
      <c r="H23" s="222"/>
    </row>
    <row r="24" spans="1:8" ht="20.100000000000001" customHeight="1">
      <c r="A24" s="630" t="s">
        <v>231</v>
      </c>
      <c r="B24" s="229"/>
      <c r="C24" s="236" t="s">
        <v>298</v>
      </c>
      <c r="D24" s="229"/>
      <c r="E24" s="229"/>
      <c r="F24" s="235" t="s">
        <v>253</v>
      </c>
      <c r="G24" s="245">
        <f>+'EXHIBIT C'!F22+'EXHIBIT C(2)'!E25</f>
        <v>12587</v>
      </c>
      <c r="H24" s="222"/>
    </row>
    <row r="25" spans="1:8" ht="20.100000000000001" customHeight="1">
      <c r="A25" s="630" t="s">
        <v>231</v>
      </c>
      <c r="B25" s="229"/>
      <c r="C25" s="236" t="s">
        <v>299</v>
      </c>
      <c r="D25" s="229"/>
      <c r="E25" s="229"/>
      <c r="F25" s="235" t="s">
        <v>254</v>
      </c>
      <c r="G25" s="245">
        <f>+'EXHIBIT C'!F23+'EXHIBIT C(2)'!E26</f>
        <v>14201</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677052</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10200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10200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8640943</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45000</v>
      </c>
      <c r="H46" s="222"/>
    </row>
    <row r="47" spans="1:8" ht="20.100000000000001" customHeight="1">
      <c r="A47" s="629" t="s">
        <v>311</v>
      </c>
      <c r="B47" s="246"/>
      <c r="C47" s="246"/>
      <c r="D47" s="246"/>
      <c r="E47" s="246"/>
      <c r="F47" s="247" t="s">
        <v>312</v>
      </c>
      <c r="G47" s="572">
        <v>75000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1300</v>
      </c>
      <c r="H49" s="222"/>
    </row>
    <row r="50" spans="1:8" ht="20.100000000000001" customHeight="1">
      <c r="A50" s="629" t="s">
        <v>317</v>
      </c>
      <c r="B50" s="229"/>
      <c r="C50" s="229"/>
      <c r="D50" s="229"/>
      <c r="E50" s="229"/>
      <c r="F50" s="248" t="s">
        <v>318</v>
      </c>
      <c r="G50" s="572">
        <v>275000</v>
      </c>
      <c r="H50" s="222"/>
    </row>
    <row r="51" spans="1:8" ht="20.100000000000001" customHeight="1">
      <c r="A51" s="629" t="s">
        <v>319</v>
      </c>
      <c r="B51" s="229"/>
      <c r="C51" s="229"/>
      <c r="D51" s="229"/>
      <c r="E51" s="229"/>
      <c r="F51" s="233">
        <v>40450</v>
      </c>
      <c r="G51" s="572">
        <v>700000</v>
      </c>
      <c r="H51" s="222"/>
    </row>
    <row r="52" spans="1:8" ht="20.100000000000001" customHeight="1">
      <c r="A52" s="629" t="s">
        <v>320</v>
      </c>
      <c r="B52" s="229"/>
      <c r="C52" s="229"/>
      <c r="D52" s="229"/>
      <c r="E52" s="229"/>
      <c r="F52" s="248" t="s">
        <v>321</v>
      </c>
      <c r="G52" s="572">
        <v>100000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500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16000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431386</v>
      </c>
      <c r="H58" s="222"/>
    </row>
    <row r="59" spans="1:8" ht="20.100000000000001" customHeight="1">
      <c r="A59" s="630" t="s">
        <v>334</v>
      </c>
      <c r="B59" s="232"/>
      <c r="C59" s="232"/>
      <c r="D59" s="232"/>
      <c r="E59" s="232"/>
      <c r="F59" s="248" t="s">
        <v>335</v>
      </c>
      <c r="G59" s="572">
        <v>377020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60000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10722149</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1100000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1100000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21776932</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249706</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2500</v>
      </c>
      <c r="H79" s="222"/>
    </row>
    <row r="80" spans="1:8" ht="20.100000000000001" customHeight="1">
      <c r="A80" s="629" t="s">
        <v>359</v>
      </c>
      <c r="B80" s="229"/>
      <c r="C80" s="229"/>
      <c r="D80" s="229"/>
      <c r="E80" s="229"/>
      <c r="F80" s="235" t="s">
        <v>360</v>
      </c>
      <c r="G80" s="656">
        <v>200000</v>
      </c>
      <c r="H80" s="222"/>
    </row>
    <row r="81" spans="1:10" ht="20.100000000000001" customHeight="1">
      <c r="A81" s="629" t="s">
        <v>361</v>
      </c>
      <c r="B81" s="229"/>
      <c r="C81" s="229"/>
      <c r="D81" s="229"/>
      <c r="E81" s="229"/>
      <c r="F81" s="235" t="s">
        <v>362</v>
      </c>
      <c r="G81" s="655">
        <f>'CHECK SHEET'!D104</f>
        <v>3236588</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25465726</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12000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12000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10000</v>
      </c>
      <c r="H110" s="222"/>
    </row>
    <row r="111" spans="1:8" ht="20.100000000000001" customHeight="1">
      <c r="A111" s="629" t="s">
        <v>390</v>
      </c>
      <c r="B111" s="229"/>
      <c r="C111" s="229"/>
      <c r="D111" s="229"/>
      <c r="E111" s="229"/>
      <c r="F111" s="235" t="s">
        <v>391</v>
      </c>
      <c r="G111" s="573">
        <v>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10000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200000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500</v>
      </c>
      <c r="H125" s="222"/>
    </row>
    <row r="126" spans="1:8" ht="20.100000000000001" customHeight="1">
      <c r="A126" s="629" t="s">
        <v>407</v>
      </c>
      <c r="B126" s="229"/>
      <c r="C126" s="229"/>
      <c r="D126" s="229"/>
      <c r="E126" s="229"/>
      <c r="F126" s="235" t="s">
        <v>408</v>
      </c>
      <c r="G126" s="573">
        <v>25000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225500</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73000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73000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37608375</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1382110</v>
      </c>
      <c r="H147" s="222"/>
    </row>
    <row r="148" spans="1:8" ht="20.100000000000001" customHeight="1">
      <c r="A148" s="629" t="s">
        <v>429</v>
      </c>
      <c r="B148" s="222"/>
      <c r="C148" s="222"/>
      <c r="D148" s="222"/>
      <c r="E148" s="222"/>
      <c r="F148" s="235" t="s">
        <v>430</v>
      </c>
      <c r="G148" s="577">
        <v>967105</v>
      </c>
      <c r="H148" s="222"/>
    </row>
    <row r="149" spans="1:8" ht="20.100000000000001" customHeight="1">
      <c r="A149" s="629" t="s">
        <v>431</v>
      </c>
      <c r="B149" s="222"/>
      <c r="C149" s="222"/>
      <c r="D149" s="222"/>
      <c r="E149" s="222"/>
      <c r="F149" s="235" t="s">
        <v>432</v>
      </c>
      <c r="G149" s="577">
        <v>1154289</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7693648</v>
      </c>
      <c r="H152" s="222"/>
    </row>
    <row r="153" spans="1:8" ht="20.100000000000001" customHeight="1">
      <c r="A153" s="629" t="s">
        <v>439</v>
      </c>
      <c r="B153" s="229"/>
      <c r="C153" s="229"/>
      <c r="D153" s="229"/>
      <c r="E153" s="229"/>
      <c r="F153" s="235" t="s">
        <v>440</v>
      </c>
      <c r="G153" s="577">
        <v>1158950</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2002544</v>
      </c>
      <c r="H162" s="222"/>
    </row>
    <row r="163" spans="1:8" ht="20.100000000000001" customHeight="1">
      <c r="A163" s="629" t="s">
        <v>458</v>
      </c>
      <c r="B163" s="229"/>
      <c r="C163" s="229"/>
      <c r="D163" s="229"/>
      <c r="E163" s="229"/>
      <c r="F163" s="235" t="s">
        <v>459</v>
      </c>
      <c r="G163" s="577">
        <v>151400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2818092</v>
      </c>
      <c r="H165" s="222"/>
    </row>
    <row r="166" spans="1:8" ht="20.100000000000001" customHeight="1">
      <c r="A166" s="629" t="s">
        <v>464</v>
      </c>
      <c r="B166" s="229"/>
      <c r="C166" s="229"/>
      <c r="D166" s="229"/>
      <c r="E166" s="229"/>
      <c r="F166" s="235" t="s">
        <v>465</v>
      </c>
      <c r="G166" s="577">
        <v>32000</v>
      </c>
      <c r="H166" s="222"/>
    </row>
    <row r="167" spans="1:8" ht="20.100000000000001" customHeight="1">
      <c r="A167" s="629" t="s">
        <v>466</v>
      </c>
      <c r="B167" s="229"/>
      <c r="C167" s="229"/>
      <c r="D167" s="229"/>
      <c r="E167" s="229"/>
      <c r="F167" s="235" t="s">
        <v>467</v>
      </c>
      <c r="G167" s="577">
        <v>2134630</v>
      </c>
      <c r="H167" s="222"/>
    </row>
    <row r="168" spans="1:8" ht="20.100000000000001" customHeight="1">
      <c r="A168" s="629" t="s">
        <v>468</v>
      </c>
      <c r="B168" s="229"/>
      <c r="C168" s="229"/>
      <c r="D168" s="229"/>
      <c r="E168" s="229"/>
      <c r="F168" s="235" t="s">
        <v>469</v>
      </c>
      <c r="G168" s="577">
        <v>5000</v>
      </c>
      <c r="H168" s="222"/>
    </row>
    <row r="169" spans="1:8" ht="20.100000000000001" customHeight="1">
      <c r="A169" s="629" t="s">
        <v>470</v>
      </c>
      <c r="B169" s="229"/>
      <c r="C169" s="229"/>
      <c r="D169" s="229"/>
      <c r="E169" s="229"/>
      <c r="F169" s="235" t="s">
        <v>471</v>
      </c>
      <c r="G169" s="577">
        <v>130184</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1452625</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99755</v>
      </c>
      <c r="H177" s="222"/>
    </row>
    <row r="178" spans="1:8" ht="20.100000000000001" customHeight="1">
      <c r="A178" s="629" t="s">
        <v>485</v>
      </c>
      <c r="B178" s="229"/>
      <c r="C178" s="229"/>
      <c r="D178" s="229"/>
      <c r="E178" s="229"/>
      <c r="F178" s="235" t="s">
        <v>486</v>
      </c>
      <c r="G178" s="577">
        <v>246556</v>
      </c>
      <c r="H178" s="222"/>
    </row>
    <row r="179" spans="1:8" ht="20.100000000000001" customHeight="1">
      <c r="A179" s="629" t="s">
        <v>487</v>
      </c>
      <c r="B179" s="229"/>
      <c r="C179" s="229"/>
      <c r="D179" s="229"/>
      <c r="E179" s="229"/>
      <c r="F179" s="235" t="s">
        <v>488</v>
      </c>
      <c r="G179" s="577">
        <v>11000</v>
      </c>
      <c r="H179" s="222"/>
    </row>
    <row r="180" spans="1:8" ht="20.100000000000001" customHeight="1">
      <c r="A180" s="629" t="s">
        <v>489</v>
      </c>
      <c r="B180" s="229"/>
      <c r="C180" s="229"/>
      <c r="D180" s="229"/>
      <c r="E180" s="229"/>
      <c r="F180" s="235" t="s">
        <v>490</v>
      </c>
      <c r="G180" s="577">
        <v>30000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138697</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v>1517064</v>
      </c>
      <c r="H185" s="222"/>
    </row>
    <row r="186" spans="1:8" ht="20.100000000000001" customHeight="1">
      <c r="A186" s="629" t="s">
        <v>501</v>
      </c>
      <c r="B186" s="229"/>
      <c r="C186" s="229"/>
      <c r="D186" s="229"/>
      <c r="E186" s="229"/>
      <c r="F186" s="235" t="s">
        <v>502</v>
      </c>
      <c r="G186" s="577">
        <v>2442415</v>
      </c>
      <c r="H186" s="222"/>
    </row>
    <row r="187" spans="1:8" ht="20.100000000000001" customHeight="1">
      <c r="A187" s="629" t="s">
        <v>503</v>
      </c>
      <c r="B187" s="229"/>
      <c r="C187" s="229"/>
      <c r="D187" s="229"/>
      <c r="E187" s="229"/>
      <c r="F187" s="235" t="s">
        <v>504</v>
      </c>
      <c r="G187" s="577">
        <v>200000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44496</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2558280</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250000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28620840</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213766</v>
      </c>
      <c r="H199" s="222"/>
    </row>
    <row r="200" spans="1:8" ht="20.100000000000001" customHeight="1">
      <c r="A200" s="629" t="s">
        <v>520</v>
      </c>
      <c r="B200" s="229"/>
      <c r="C200" s="229"/>
      <c r="D200" s="229"/>
      <c r="E200" s="229"/>
      <c r="F200" s="235" t="s">
        <v>521</v>
      </c>
      <c r="G200" s="577">
        <v>58158</v>
      </c>
      <c r="H200" s="222"/>
    </row>
    <row r="201" spans="1:8" ht="20.100000000000001" customHeight="1">
      <c r="A201" s="629" t="s">
        <v>522</v>
      </c>
      <c r="B201" s="229"/>
      <c r="C201" s="229"/>
      <c r="D201" s="229"/>
      <c r="E201" s="229"/>
      <c r="F201" s="235" t="s">
        <v>523</v>
      </c>
      <c r="G201" s="577">
        <v>152324</v>
      </c>
      <c r="H201" s="222"/>
    </row>
    <row r="202" spans="1:8" ht="20.100000000000001" customHeight="1">
      <c r="A202" s="629" t="s">
        <v>524</v>
      </c>
      <c r="B202" s="229"/>
      <c r="C202" s="229"/>
      <c r="D202" s="229"/>
      <c r="E202" s="229"/>
      <c r="F202" s="235" t="s">
        <v>525</v>
      </c>
      <c r="G202" s="577">
        <v>68376</v>
      </c>
      <c r="H202" s="222"/>
    </row>
    <row r="203" spans="1:8" ht="20.100000000000001" customHeight="1">
      <c r="A203" s="629" t="s">
        <v>526</v>
      </c>
      <c r="B203" s="229"/>
      <c r="C203" s="229"/>
      <c r="D203" s="229"/>
      <c r="E203" s="229"/>
      <c r="F203" s="235" t="s">
        <v>527</v>
      </c>
      <c r="G203" s="577">
        <v>987205</v>
      </c>
      <c r="H203" s="222"/>
    </row>
    <row r="204" spans="1:8" ht="20.100000000000001" customHeight="1">
      <c r="A204" s="629" t="s">
        <v>528</v>
      </c>
      <c r="B204" s="229"/>
      <c r="C204" s="229"/>
      <c r="D204" s="229"/>
      <c r="E204" s="229"/>
      <c r="F204" s="235" t="s">
        <v>529</v>
      </c>
      <c r="G204" s="577">
        <v>72534</v>
      </c>
      <c r="H204" s="222"/>
    </row>
    <row r="205" spans="1:8" ht="20.100000000000001" customHeight="1">
      <c r="A205" s="629" t="s">
        <v>530</v>
      </c>
      <c r="B205" s="229"/>
      <c r="C205" s="229"/>
      <c r="D205" s="229"/>
      <c r="E205" s="229"/>
      <c r="F205" s="235" t="s">
        <v>531</v>
      </c>
      <c r="G205" s="577">
        <v>907045</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51000</v>
      </c>
      <c r="H207" s="222"/>
    </row>
    <row r="208" spans="1:8" ht="20.100000000000001" customHeight="1">
      <c r="A208" s="629" t="s">
        <v>536</v>
      </c>
      <c r="B208" s="229"/>
      <c r="C208" s="229"/>
      <c r="D208" s="229"/>
      <c r="E208" s="229"/>
      <c r="F208" s="235" t="s">
        <v>537</v>
      </c>
      <c r="G208" s="577">
        <v>232000</v>
      </c>
      <c r="H208" s="222"/>
    </row>
    <row r="209" spans="1:8" ht="20.100000000000001" customHeight="1">
      <c r="A209" s="629" t="s">
        <v>538</v>
      </c>
      <c r="B209" s="229"/>
      <c r="C209" s="229"/>
      <c r="D209" s="229"/>
      <c r="E209" s="229"/>
      <c r="F209" s="235" t="s">
        <v>539</v>
      </c>
      <c r="G209" s="577">
        <v>791000</v>
      </c>
      <c r="H209" s="222"/>
    </row>
    <row r="210" spans="1:8" ht="20.100000000000001" customHeight="1">
      <c r="A210" s="629" t="s">
        <v>540</v>
      </c>
      <c r="B210" s="229"/>
      <c r="C210" s="229"/>
      <c r="D210" s="229"/>
      <c r="E210" s="229"/>
      <c r="F210" s="235" t="s">
        <v>541</v>
      </c>
      <c r="G210" s="577">
        <v>52800</v>
      </c>
      <c r="H210" s="222"/>
    </row>
    <row r="211" spans="1:8" ht="20.100000000000001" customHeight="1">
      <c r="A211" s="629" t="s">
        <v>542</v>
      </c>
      <c r="B211" s="229"/>
      <c r="C211" s="229"/>
      <c r="D211" s="229"/>
      <c r="E211" s="229"/>
      <c r="F211" s="235" t="s">
        <v>543</v>
      </c>
      <c r="G211" s="577">
        <v>40355</v>
      </c>
      <c r="H211" s="222"/>
    </row>
    <row r="212" spans="1:8" ht="20.100000000000001" customHeight="1">
      <c r="A212" s="629" t="s">
        <v>544</v>
      </c>
      <c r="B212" s="222"/>
      <c r="C212" s="222"/>
      <c r="D212" s="222"/>
      <c r="E212" s="222"/>
      <c r="F212" s="235" t="s">
        <v>545</v>
      </c>
      <c r="G212" s="577">
        <v>18591</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2188251</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266293</v>
      </c>
      <c r="H217" s="222"/>
    </row>
    <row r="218" spans="1:8" ht="20.100000000000001" customHeight="1">
      <c r="A218" s="629" t="s">
        <v>554</v>
      </c>
      <c r="B218" s="229"/>
      <c r="C218" s="229"/>
      <c r="D218" s="229"/>
      <c r="E218" s="229"/>
      <c r="F218" s="235" t="s">
        <v>555</v>
      </c>
      <c r="G218" s="577">
        <v>459598</v>
      </c>
      <c r="H218" s="222"/>
    </row>
    <row r="219" spans="1:8" ht="20.100000000000001" customHeight="1">
      <c r="A219" s="629" t="s">
        <v>556</v>
      </c>
      <c r="B219" s="222"/>
      <c r="C219" s="222"/>
      <c r="D219" s="222"/>
      <c r="E219" s="222"/>
      <c r="F219" s="256" t="s">
        <v>557</v>
      </c>
      <c r="G219" s="577">
        <v>936692</v>
      </c>
      <c r="H219" s="222"/>
    </row>
    <row r="220" spans="1:8" ht="20.100000000000001" customHeight="1">
      <c r="A220" s="629" t="s">
        <v>558</v>
      </c>
      <c r="B220" s="229"/>
      <c r="C220" s="229"/>
      <c r="D220" s="229"/>
      <c r="E220" s="229"/>
      <c r="F220" s="235" t="s">
        <v>559</v>
      </c>
      <c r="G220" s="577">
        <v>273060</v>
      </c>
      <c r="H220" s="222"/>
    </row>
    <row r="221" spans="1:8" ht="20.100000000000001" customHeight="1">
      <c r="A221" s="629" t="s">
        <v>560</v>
      </c>
      <c r="B221" s="229"/>
      <c r="C221" s="229"/>
      <c r="D221" s="229"/>
      <c r="E221" s="229"/>
      <c r="F221" s="235" t="s">
        <v>561</v>
      </c>
      <c r="G221" s="577">
        <v>135881</v>
      </c>
      <c r="H221" s="222"/>
    </row>
    <row r="222" spans="1:8" ht="20.100000000000001" customHeight="1">
      <c r="A222" s="630" t="s">
        <v>562</v>
      </c>
      <c r="B222" s="232"/>
      <c r="C222" s="232"/>
      <c r="D222" s="232"/>
      <c r="E222" s="232"/>
      <c r="F222" s="248" t="s">
        <v>563</v>
      </c>
      <c r="G222" s="577">
        <v>200388</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668000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191625</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60000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9024942</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128750</v>
      </c>
      <c r="H242" s="222"/>
    </row>
    <row r="243" spans="1:10" ht="20.100000000000001" customHeight="1">
      <c r="A243" s="630" t="s">
        <v>594</v>
      </c>
      <c r="B243" s="232"/>
      <c r="C243" s="232"/>
      <c r="D243" s="232"/>
      <c r="E243" s="232"/>
      <c r="F243" s="248" t="s">
        <v>595</v>
      </c>
      <c r="G243" s="577">
        <v>66595</v>
      </c>
      <c r="H243" s="222"/>
    </row>
    <row r="244" spans="1:10" ht="20.100000000000001" customHeight="1">
      <c r="A244" s="629" t="s">
        <v>596</v>
      </c>
      <c r="B244" s="229"/>
      <c r="C244" s="229"/>
      <c r="D244" s="229"/>
      <c r="E244" s="229"/>
      <c r="F244" s="235" t="s">
        <v>597</v>
      </c>
      <c r="G244" s="577">
        <v>123500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790</v>
      </c>
      <c r="B247" s="232"/>
      <c r="C247" s="232"/>
      <c r="D247" s="232"/>
      <c r="E247" s="232"/>
      <c r="F247" s="255">
        <v>73100</v>
      </c>
      <c r="G247" s="577">
        <v>53663</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100000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472508</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38118290</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100000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8484163</v>
      </c>
      <c r="H267" s="222"/>
    </row>
    <row r="268" spans="1:8" ht="20.100000000000001" customHeight="1">
      <c r="A268" s="629" t="s">
        <v>621</v>
      </c>
      <c r="B268" s="229"/>
      <c r="C268" s="229"/>
      <c r="D268" s="229"/>
      <c r="E268" s="229"/>
      <c r="F268" s="273">
        <v>31100</v>
      </c>
      <c r="G268" s="769">
        <v>2712312</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11296475</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-22573278</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-11276803</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term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2021-06-21T15:35:43Z</cp:lastPrinted>
  <dcterms:created xsi:type="dcterms:W3CDTF">2005-03-22T15:46:43Z</dcterms:created>
  <dcterms:modified xsi:type="dcterms:W3CDTF">2021-10-13T14:43:50Z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