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Y:\2022 Budget\Division Budget\"/>
    </mc:Choice>
  </mc:AlternateContent>
  <bookViews>
    <workbookView xWindow="0" yWindow="0" windowWidth="25200" windowHeight="11850" tabRatio="951" firstSheet="1"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153" i="7" l="1"/>
  <c r="C10" i="8" l="1"/>
  <c r="D79" i="15"/>
  <c r="D64" i="15"/>
  <c r="D86" i="15"/>
  <c r="D83" i="15"/>
  <c r="D67" i="15"/>
  <c r="D49" i="15"/>
  <c r="D48" i="15"/>
  <c r="E14" i="4" l="1"/>
  <c r="G244" i="7" l="1"/>
  <c r="G243" i="7"/>
  <c r="G242" i="7"/>
  <c r="G226" i="7"/>
  <c r="G222" i="7"/>
  <c r="G221" i="7"/>
  <c r="G220" i="7"/>
  <c r="G219" i="7"/>
  <c r="G218" i="7"/>
  <c r="G217" i="7"/>
  <c r="G214" i="7"/>
  <c r="G205" i="7"/>
  <c r="G204" i="7"/>
  <c r="G203" i="7"/>
  <c r="G202" i="7"/>
  <c r="G201" i="7"/>
  <c r="G199" i="7"/>
  <c r="G178" i="7"/>
  <c r="G177" i="7"/>
  <c r="G102" i="7" l="1"/>
  <c r="G186" i="7" l="1"/>
  <c r="G185" i="7"/>
  <c r="G162" i="7"/>
  <c r="G152" i="7"/>
  <c r="G126" i="7" l="1"/>
  <c r="G111" i="7"/>
  <c r="G59" i="7"/>
  <c r="G50" i="7"/>
  <c r="G58" i="7" l="1"/>
  <c r="G49" i="7"/>
  <c r="D10" i="6"/>
  <c r="D14" i="6"/>
  <c r="D13" i="6"/>
  <c r="D11" i="6"/>
  <c r="D12" i="6"/>
  <c r="F13" i="6" l="1"/>
  <c r="S113" i="23" l="1"/>
  <c r="T113" i="23" s="1"/>
  <c r="V113" i="23"/>
  <c r="AD113" i="23"/>
  <c r="AG113" i="23"/>
  <c r="AB113" i="23" s="1"/>
  <c r="Z113" i="23" s="1"/>
  <c r="E48" i="23" l="1"/>
  <c r="E49" i="23"/>
  <c r="E50" i="23"/>
  <c r="E51" i="23"/>
  <c r="E53" i="23"/>
  <c r="D57" i="23"/>
  <c r="E56" i="23"/>
  <c r="E52" i="23" l="1"/>
  <c r="G10" i="6"/>
  <c r="G11" i="6"/>
  <c r="G12" i="6"/>
  <c r="G13" i="6"/>
  <c r="G14" i="6"/>
  <c r="G15" i="6"/>
  <c r="F32" i="6"/>
  <c r="G32" i="6"/>
  <c r="H32" i="6" s="1"/>
  <c r="F33" i="6"/>
  <c r="G33" i="6"/>
  <c r="F34" i="6"/>
  <c r="G34" i="6"/>
  <c r="H34" i="6"/>
  <c r="G32" i="7"/>
  <c r="F35" i="6"/>
  <c r="G35" i="6"/>
  <c r="E19" i="6"/>
  <c r="F19" i="6" s="1"/>
  <c r="G21" i="7" s="1"/>
  <c r="E20" i="6"/>
  <c r="F20" i="6" s="1"/>
  <c r="G22" i="7" s="1"/>
  <c r="E21" i="6"/>
  <c r="F21" i="6"/>
  <c r="G23" i="7" s="1"/>
  <c r="E22" i="6"/>
  <c r="F22" i="6"/>
  <c r="G24" i="7"/>
  <c r="E23" i="6"/>
  <c r="F23" i="6"/>
  <c r="G25" i="7" s="1"/>
  <c r="E24" i="6"/>
  <c r="F24" i="6" s="1"/>
  <c r="G26" i="7" s="1"/>
  <c r="B34" i="5"/>
  <c r="E39" i="6"/>
  <c r="F39" i="6"/>
  <c r="G37" i="7" s="1"/>
  <c r="B35" i="5"/>
  <c r="H35" i="5" s="1"/>
  <c r="I35" i="5" s="1"/>
  <c r="E40" i="6"/>
  <c r="F40" i="6" s="1"/>
  <c r="B37" i="5"/>
  <c r="E41" i="6"/>
  <c r="F41" i="6"/>
  <c r="G39" i="7"/>
  <c r="B38" i="5"/>
  <c r="E42" i="6"/>
  <c r="F42" i="6"/>
  <c r="G40" i="7"/>
  <c r="G71" i="7"/>
  <c r="D102" i="3"/>
  <c r="G75" i="7" s="1"/>
  <c r="G96" i="7"/>
  <c r="G105" i="7"/>
  <c r="G115" i="7"/>
  <c r="G119" i="7"/>
  <c r="G128" i="7"/>
  <c r="G141" i="7"/>
  <c r="C76" i="23"/>
  <c r="D76" i="23" s="1"/>
  <c r="E76" i="23" s="1"/>
  <c r="F76" i="23" s="1"/>
  <c r="A113" i="23"/>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F118" i="15" s="1"/>
  <c r="E118" i="15"/>
  <c r="F124" i="15"/>
  <c r="F127" i="15"/>
  <c r="F128" i="15"/>
  <c r="F129" i="15"/>
  <c r="F130" i="15"/>
  <c r="F131" i="15"/>
  <c r="F132" i="15"/>
  <c r="F133" i="15"/>
  <c r="F134" i="15"/>
  <c r="F135" i="15"/>
  <c r="E136"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s="1"/>
  <c r="G254" i="7"/>
  <c r="E15" i="8"/>
  <c r="E36" i="6"/>
  <c r="D36" i="6"/>
  <c r="D43" i="6"/>
  <c r="D26" i="6"/>
  <c r="E17" i="6"/>
  <c r="G20" i="5"/>
  <c r="H20" i="5"/>
  <c r="G19" i="5"/>
  <c r="H19" i="5"/>
  <c r="G22" i="5"/>
  <c r="H22" i="5"/>
  <c r="G23" i="5"/>
  <c r="H23" i="5"/>
  <c r="E20" i="12"/>
  <c r="E29" i="12"/>
  <c r="E30" i="12"/>
  <c r="G195" i="7"/>
  <c r="D21" i="8"/>
  <c r="E68" i="3"/>
  <c r="C94" i="12"/>
  <c r="B31" i="5"/>
  <c r="H31" i="5" s="1"/>
  <c r="I31" i="5" s="1"/>
  <c r="B30" i="5"/>
  <c r="H30" i="5" s="1"/>
  <c r="I30" i="5" s="1"/>
  <c r="G16" i="5"/>
  <c r="H16" i="5" s="1"/>
  <c r="G15" i="5"/>
  <c r="H15" i="5"/>
  <c r="D96" i="8"/>
  <c r="C96" i="8"/>
  <c r="B69" i="6"/>
  <c r="C93" i="3" s="1"/>
  <c r="E19" i="4"/>
  <c r="E69" i="3"/>
  <c r="E70" i="3"/>
  <c r="E71" i="3"/>
  <c r="E72" i="3"/>
  <c r="E73" i="3"/>
  <c r="B21" i="8"/>
  <c r="C21" i="8"/>
  <c r="E10" i="8"/>
  <c r="E12" i="8"/>
  <c r="E16" i="8"/>
  <c r="E17" i="8"/>
  <c r="E18" i="8"/>
  <c r="E19" i="8"/>
  <c r="E20" i="8"/>
  <c r="E36" i="4"/>
  <c r="C127" i="3" s="1"/>
  <c r="D33" i="4"/>
  <c r="B60" i="6"/>
  <c r="C96" i="3" s="1"/>
  <c r="E26" i="4"/>
  <c r="C95" i="3" s="1"/>
  <c r="E16" i="4"/>
  <c r="G270" i="7"/>
  <c r="G274" i="7" s="1"/>
  <c r="C120" i="3" s="1"/>
  <c r="E67" i="22"/>
  <c r="D61" i="22"/>
  <c r="E14" i="8"/>
  <c r="G238" i="7"/>
  <c r="X141" i="23"/>
  <c r="E60" i="22"/>
  <c r="F36" i="6"/>
  <c r="E70" i="22"/>
  <c r="E69" i="22"/>
  <c r="E68" i="22"/>
  <c r="D66" i="22"/>
  <c r="D68" i="22"/>
  <c r="H35" i="6"/>
  <c r="G33" i="7"/>
  <c r="H33" i="6"/>
  <c r="G31" i="7" s="1"/>
  <c r="H34" i="5"/>
  <c r="I34" i="5" s="1"/>
  <c r="E62" i="22"/>
  <c r="H38" i="5"/>
  <c r="I38" i="5"/>
  <c r="D69" i="22"/>
  <c r="D92" i="23"/>
  <c r="E92" i="23" s="1"/>
  <c r="F92" i="23" s="1"/>
  <c r="H37" i="5"/>
  <c r="I37" i="5"/>
  <c r="D70" i="22"/>
  <c r="D17" i="6"/>
  <c r="F12" i="6"/>
  <c r="H12" i="6" s="1"/>
  <c r="G14" i="7" s="1"/>
  <c r="F11" i="6"/>
  <c r="E45" i="3" s="1"/>
  <c r="F14" i="6"/>
  <c r="E48" i="3" s="1"/>
  <c r="H13" i="6"/>
  <c r="G15" i="7" s="1"/>
  <c r="F15" i="6"/>
  <c r="E49" i="3"/>
  <c r="F10" i="6"/>
  <c r="H10" i="6" s="1"/>
  <c r="G12" i="7" s="1"/>
  <c r="E44" i="3"/>
  <c r="E47" i="3"/>
  <c r="H15" i="6"/>
  <c r="G17" i="7" s="1"/>
  <c r="E21" i="8" l="1"/>
  <c r="C111" i="3"/>
  <c r="C113" i="3"/>
  <c r="C121" i="3"/>
  <c r="C112" i="3"/>
  <c r="G256" i="7"/>
  <c r="E25" i="4" s="1"/>
  <c r="E28" i="4" s="1"/>
  <c r="E74" i="3"/>
  <c r="H14" i="6"/>
  <c r="G16" i="7" s="1"/>
  <c r="E46" i="3"/>
  <c r="H11" i="6"/>
  <c r="G13" i="7" s="1"/>
  <c r="F17" i="6"/>
  <c r="E50" i="3" s="1"/>
  <c r="C92" i="3"/>
  <c r="B70" i="6"/>
  <c r="G38" i="7"/>
  <c r="F43" i="6"/>
  <c r="H36" i="6"/>
  <c r="H44" i="6" s="1"/>
  <c r="G30" i="7"/>
  <c r="G35" i="7" s="1"/>
  <c r="H29" i="5"/>
  <c r="I29" i="5" s="1"/>
  <c r="D125" i="15"/>
  <c r="C144" i="3" s="1"/>
  <c r="G28" i="7"/>
  <c r="G42" i="7"/>
  <c r="F26" i="6"/>
  <c r="D126" i="15"/>
  <c r="C128" i="3"/>
  <c r="C132" i="3" s="1"/>
  <c r="E120" i="15"/>
  <c r="F102" i="15"/>
  <c r="E138" i="15"/>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C114" i="3" l="1"/>
  <c r="G19" i="7"/>
  <c r="G44" i="7" s="1"/>
  <c r="G63" i="7" s="1"/>
  <c r="G143" i="7" s="1"/>
  <c r="H17" i="6"/>
  <c r="H27" i="6" s="1"/>
  <c r="H46" i="6" s="1"/>
  <c r="D136" i="15"/>
  <c r="D138" i="15" s="1"/>
  <c r="F125" i="15"/>
  <c r="C137" i="3"/>
  <c r="C139" i="3"/>
  <c r="F126" i="15"/>
  <c r="F136" i="15" s="1"/>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E18" i="4" l="1"/>
  <c r="E21" i="4" s="1"/>
  <c r="E23" i="4" s="1"/>
  <c r="E44" i="4" s="1"/>
  <c r="C17" i="3" s="1"/>
  <c r="C34" i="3"/>
  <c r="C153" i="3"/>
  <c r="F138" i="15"/>
  <c r="D32" i="4" l="1"/>
  <c r="E35" i="4" s="1"/>
  <c r="E38" i="4" s="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<sst xmlns="http://schemas.openxmlformats.org/spreadsheetml/2006/main" count="1341" uniqueCount="815">
  <si>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</si>
  <si>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</si>
  <si>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</si>
  <si>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</si>
  <si>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</si>
  <si>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</si>
  <si>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</si>
  <si>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</si>
  <si>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</si>
  <si>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</si>
  <si>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</si>
  <si>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</si>
  <si>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</si>
  <si>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</si>
  <si>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</si>
  <si>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</si>
  <si>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</si>
  <si>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</si>
  <si>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</si>
  <si>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</si>
  <si>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</si>
  <si>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</si>
  <si>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</si>
  <si>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</si>
  <si>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</si>
  <si>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</si>
  <si>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</si>
  <si>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</si>
  <si>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</si>
  <si>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</si>
  <si>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</si>
  <si>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</si>
  <si>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</si>
  <si>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</si>
  <si>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</si>
  <si>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</si>
  <si>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</si>
  <si>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</si>
  <si>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</si>
  <si>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</si>
  <si>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</si>
  <si>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</si>
  <si>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</si>
  <si>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</si>
  <si>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</si>
  <si>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</si>
  <si>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</si>
  <si>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</si>
  <si>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</si>
  <si>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</si>
  <si>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</si>
  <si>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</si>
  <si>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</si>
  <si>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</si>
  <si>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</si>
  <si>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</si>
  <si>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</si>
  <si>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</si>
  <si>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</si>
  <si>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</si>
  <si>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</si>
  <si>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</si>
  <si>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</si>
  <si>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</si>
  <si>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</si>
  <si>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</si>
  <si>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</si>
  <si>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</si>
  <si>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</si>
  <si>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</si>
  <si>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</si>
  <si>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</si>
  <si>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</si>
  <si>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</si>
  <si>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</si>
  <si>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</si>
  <si>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</si>
  <si>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</si>
  <si>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</si>
  <si>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</si>
  <si>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</si>
  <si>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</si>
  <si>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</si>
  <si>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</si>
  <si>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</si>
  <si>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</si>
  <si>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</si>
  <si>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</si>
  <si>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</si>
  <si>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</si>
  <si>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</si>
  <si>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</si>
  <si>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</si>
  <si>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</si>
  <si>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</si>
  <si>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</si>
  <si>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</si>
  <si>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</si>
  <si>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</si>
  <si>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</si>
  <si>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</si>
  <si>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</si>
  <si>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</si>
  <si>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</si>
  <si>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</si>
  <si>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</si>
  <si>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</si>
  <si>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</si>
  <si>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</si>
  <si>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</si>
  <si>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</si>
  <si>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</si>
  <si>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</si>
  <si>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</si>
  <si>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</si>
  <si>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</si>
  <si>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</si>
  <si>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</si>
  <si>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</si>
  <si>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</si>
  <si>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</si>
  <si>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</si>
  <si>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</si>
  <si>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</si>
  <si>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</si>
  <si>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</si>
  <si>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</si>
  <si>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</si>
  <si>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</si>
  <si>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</si>
  <si>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</si>
  <si>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</si>
  <si>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</si>
  <si>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</si>
  <si>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</si>
  <si>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</si>
  <si>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</si>
  <si>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</si>
  <si>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</si>
  <si>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</si>
  <si>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</si>
  <si>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</si>
  <si>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</si>
  <si>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</si>
  <si>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</si>
  <si>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</si>
  <si>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</si>
  <si>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</si>
  <si>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</si>
  <si>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</si>
  <si>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</si>
  <si>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</si>
  <si>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</si>
  <si>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</si>
  <si>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</si>
  <si>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</si>
  <si>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</si>
  <si>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</si>
  <si>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</si>
  <si>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</si>
  <si>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</si>
  <si>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</si>
  <si>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</si>
  <si>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</si>
  <si>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</si>
  <si>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</si>
  <si>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</si>
  <si>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</si>
  <si>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</si>
  <si>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</si>
  <si>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</si>
  <si>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</si>
  <si>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</si>
  <si>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</si>
  <si>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</si>
  <si>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</si>
  <si>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</si>
  <si>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</si>
  <si>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</si>
  <si>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</si>
  <si>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</si>
  <si>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</si>
  <si>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</si>
  <si>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</si>
  <si>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</si>
  <si>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</si>
  <si>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</si>
  <si>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</si>
  <si>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</si>
  <si>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</si>
  <si>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</si>
  <si>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</si>
  <si>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</si>
  <si>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</si>
  <si>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</si>
  <si>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</si>
  <si>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</si>
  <si>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</si>
  <si>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</si>
  <si>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</si>
  <si>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</si>
  <si>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</si>
  <si>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</si>
  <si>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</si>
  <si>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</si>
  <si>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</si>
  <si>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</si>
  <si>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</si>
  <si>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</si>
  <si>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</si>
  <si>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</si>
  <si>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</si>
  <si>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</si>
  <si>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</si>
  <si>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</si>
  <si>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</si>
  <si>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</si>
  <si>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</si>
  <si>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</si>
  <si>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</si>
  <si>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</si>
  <si>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</si>
  <si>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</si>
  <si>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</si>
  <si>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</si>
  <si>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</si>
  <si>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</si>
  <si>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</si>
  <si>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</si>
  <si>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</si>
  <si>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</si>
  <si>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</si>
  <si>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</si>
  <si>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</si>
  <si>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</si>
  <si>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</si>
  <si>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</si>
  <si>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</si>
  <si>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</si>
  <si>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</si>
  <si>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</si>
  <si>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</si>
  <si>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</si>
  <si>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</si>
  <si>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</si>
  <si>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</si>
  <si>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</si>
  <si>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</si>
  <si>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</si>
  <si>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</si>
  <si>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</si>
  <si>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</si>
  <si>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</si>
  <si>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</si>
  <si>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</si>
  <si>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</si>
  <si>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</si>
  <si>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</si>
  <si>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</si>
  <si>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</si>
  <si>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</si>
  <si>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</si>
  <si>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</si>
  <si>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</si>
  <si>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</si>
  <si>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</si>
  <si>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</si>
  <si>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</si>
  <si>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</si>
  <si>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</si>
  <si>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</si>
  <si>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</si>
  <si>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</si>
  <si>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</si>
  <si>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</si>
  <si>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</si>
  <si>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</si>
  <si>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</si>
  <si>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</si>
  <si>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</si>
  <si>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</si>
  <si>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</si>
  <si>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</si>
  <si>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</si>
  <si>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</si>
  <si>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</si>
  <si>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</si>
  <si>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</si>
  <si>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</si>
  <si>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</si>
  <si>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</si>
  <si>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</si>
  <si>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</si>
  <si>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</si>
  <si>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</si>
  <si>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</si>
  <si>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</si>
  <si>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</si>
  <si>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</si>
  <si>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</si>
  <si>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</si>
  <si>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</si>
  <si>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</si>
  <si>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</si>
  <si>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</si>
  <si>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</si>
  <si>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</si>
  <si>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</si>
  <si>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</si>
  <si>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</si>
  <si>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</si>
  <si>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</si>
  <si>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</si>
  <si>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</si>
  <si>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</si>
  <si>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</si>
  <si>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</si>
  <si>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</si>
  <si>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</si>
  <si>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</si>
  <si>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</si>
  <si>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</si>
  <si>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</si>
  <si>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</si>
  <si>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</si>
  <si>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</si>
  <si>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</si>
  <si>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</si>
  <si>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</si>
  <si>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</si>
  <si>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</si>
  <si>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</si>
  <si>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</si>
  <si>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</si>
  <si>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</si>
  <si>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</si>
  <si>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</si>
  <si>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</si>
  <si>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</si>
  <si>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</si>
  <si>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</si>
  <si>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</si>
  <si>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</si>
  <si>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</si>
  <si>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</si>
  <si>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</si>
  <si>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</si>
  <si>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</si>
  <si>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</si>
  <si>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</si>
  <si>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</si>
  <si>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</si>
  <si>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</si>
  <si>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</si>
  <si>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</si>
  <si>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</si>
  <si>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</si>
  <si>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</si>
  <si>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</si>
  <si>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</si>
  <si>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</si>
  <si>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</si>
  <si>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</si>
  <si>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</si>
  <si>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</si>
  <si>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</si>
  <si>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</si>
  <si>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</si>
  <si>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</si>
  <si>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</si>
  <si>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</si>
  <si>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</si>
  <si>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</si>
  <si>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</si>
  <si>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</si>
  <si>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</si>
  <si>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</si>
  <si>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</si>
  <si>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</si>
  <si>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</si>
  <si>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</si>
  <si>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</si>
  <si>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</si>
  <si>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</si>
  <si>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</si>
  <si>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</si>
  <si>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</si>
  <si>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</si>
  <si>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</si>
  <si>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</si>
  <si>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</si>
  <si>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</si>
  <si>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</si>
  <si>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</si>
  <si>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</si>
  <si>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</si>
  <si>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</si>
  <si>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</si>
  <si>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</si>
  <si>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</si>
  <si>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</si>
  <si>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</si>
  <si>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</si>
  <si>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</si>
  <si>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</si>
  <si>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</si>
  <si>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</si>
  <si>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</si>
  <si>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</si>
  <si>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</si>
  <si>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</si>
  <si>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</si>
  <si>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</si>
  <si>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</si>
  <si>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</si>
  <si>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</si>
  <si>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</si>
  <si>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</si>
  <si>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</si>
  <si>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</si>
  <si>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</si>
  <si>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</si>
  <si>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</si>
  <si>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</si>
  <si>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</si>
  <si>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</si>
  <si>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</si>
  <si>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</si>
  <si>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</si>
  <si>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</si>
  <si>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</si>
  <si>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</si>
  <si>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</si>
  <si>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</si>
  <si>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</si>
  <si>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</si>
  <si>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</si>
  <si>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</si>
  <si>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</si>
  <si>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</si>
  <si>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</si>
  <si>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</si>
  <si>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</si>
  <si>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</si>
  <si>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</si>
  <si>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</si>
  <si>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</si>
  <si>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</si>
  <si>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</si>
  <si>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</si>
  <si>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</si>
  <si>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</si>
  <si>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</si>
  <si>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</si>
  <si>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</si>
  <si>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</si>
  <si>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</si>
  <si>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</si>
  <si>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</si>
  <si>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</si>
  <si>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</si>
  <si>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</si>
  <si>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</si>
  <si>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</si>
  <si>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</si>
  <si>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</si>
  <si>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</si>
  <si>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</si>
  <si>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</si>
  <si>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</si>
  <si>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</si>
  <si>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</si>
  <si>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</si>
  <si>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</si>
  <si>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</si>
  <si>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</si>
  <si>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</si>
  <si>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</si>
  <si>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</si>
  <si>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</si>
  <si>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</si>
  <si>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</si>
  <si>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</si>
  <si>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</si>
  <si>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</si>
  <si>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</si>
  <si>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</si>
  <si>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</si>
  <si>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</si>
  <si>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</si>
  <si>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</si>
  <si>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</si>
  <si>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</si>
  <si>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</si>
  <si>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</si>
  <si>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</si>
  <si>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</si>
  <si>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</si>
  <si>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</si>
  <si>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</si>
  <si>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</si>
  <si>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</si>
  <si>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</si>
  <si>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</si>
  <si>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</si>
  <si>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</si>
  <si>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</si>
  <si>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</si>
  <si>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</si>
  <si>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</si>
  <si>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</si>
  <si>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</si>
  <si>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</si>
  <si>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</si>
  <si>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</si>
  <si>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</si>
  <si>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</si>
  <si>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</si>
  <si>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</si>
  <si>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</si>
  <si>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</si>
  <si>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</si>
  <si>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</si>
  <si>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</si>
  <si>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</si>
  <si>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</si>
  <si>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</si>
  <si>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</si>
  <si>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</si>
  <si>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</si>
  <si>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</si>
  <si>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</si>
  <si>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</si>
  <si>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</si>
  <si>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</si>
  <si>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</si>
  <si>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</si>
  <si>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</si>
  <si>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</si>
  <si>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</si>
  <si>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</si>
  <si>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</si>
  <si>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</si>
  <si>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</si>
  <si>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</si>
  <si>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</si>
  <si>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</si>
  <si>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</si>
  <si>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</si>
  <si>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</si>
  <si>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</si>
  <si>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</si>
  <si>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</si>
  <si>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</si>
  <si>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</si>
  <si>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</si>
  <si>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</si>
  <si>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</si>
  <si>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</si>
  <si>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</si>
  <si>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</si>
  <si>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</si>
  <si>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</si>
  <si>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</si>
  <si>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</si>
  <si>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</si>
  <si>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</si>
  <si>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</si>
  <si>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</si>
  <si>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</si>
  <si>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</si>
  <si>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</si>
  <si>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</si>
  <si>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</si>
  <si>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</si>
  <si>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</si>
  <si>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</si>
  <si>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</si>
  <si>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</si>
  <si>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</si>
  <si>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</si>
  <si>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</si>
  <si>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</si>
  <si>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</si>
  <si>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</si>
  <si>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</si>
  <si>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</si>
  <si>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</si>
  <si>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</si>
  <si>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</si>
  <si>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</si>
  <si>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</si>
  <si>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</si>
  <si>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</si>
  <si>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</si>
  <si>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</si>
  <si>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</si>
  <si>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</si>
  <si>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</si>
  <si>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</si>
  <si>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</si>
  <si>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</si>
  <si>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</si>
  <si>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</si>
  <si>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</si>
  <si>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</si>
  <si>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</si>
  <si>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</si>
  <si>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</si>
  <si>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</si>
  <si>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</si>
  <si>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</si>
  <si>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</si>
  <si>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</si>
  <si>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</si>
  <si>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</si>
  <si>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</si>
  <si>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</si>
  <si>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</si>
  <si>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</si>
  <si>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</si>
  <si>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</si>
  <si>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</si>
  <si>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</si>
  <si>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</si>
  <si>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</si>
  <si>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</si>
  <si>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</si>
  <si>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</si>
  <si>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</si>
  <si>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</si>
  <si>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</si>
  <si>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</si>
  <si>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</si>
  <si>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</si>
  <si>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</si>
  <si>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</si>
  <si>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</si>
  <si>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</si>
  <si>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</si>
  <si>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</si>
  <si>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</si>
  <si>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</si>
  <si>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</si>
  <si>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</si>
  <si>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</si>
  <si>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</si>
  <si>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</si>
  <si>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</si>
  <si>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</si>
  <si>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</si>
  <si>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</si>
  <si>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</si>
  <si>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</si>
  <si>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</si>
  <si>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</si>
  <si>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</si>
  <si>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</si>
  <si>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</si>
  <si>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</si>
  <si>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</si>
  <si>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</si>
  <si>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</si>
  <si>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</si>
  <si>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</si>
  <si>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</si>
  <si>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</si>
  <si>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</si>
  <si>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</si>
  <si>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</si>
  <si>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</si>
  <si>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</si>
  <si>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</si>
  <si>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</si>
  <si>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</si>
  <si>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</si>
  <si>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</si>
  <si>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</si>
  <si>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</si>
  <si>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</si>
  <si>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</si>
  <si>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</si>
  <si>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</si>
  <si>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</si>
  <si>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</si>
  <si>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</si>
  <si>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</si>
  <si>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</si>
  <si>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</si>
  <si>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</si>
  <si>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</si>
  <si>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</si>
  <si>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</si>
  <si>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</si>
  <si>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</si>
  <si>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</si>
  <si>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</si>
  <si>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</si>
  <si>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</si>
  <si>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</si>
  <si>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</si>
  <si>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</si>
  <si>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</si>
  <si>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</si>
  <si>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</si>
  <si>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</si>
  <si>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</si>
  <si>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</si>
  <si>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</si>
  <si>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</si>
  <si>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</si>
  <si>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</si>
  <si>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</si>
  <si>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</si>
  <si>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</si>
  <si>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</si>
  <si>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</si>
  <si>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</si>
  <si>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</si>
  <si>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</si>
  <si>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</si>
  <si>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</si>
  <si>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</si>
  <si>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</si>
  <si>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</si>
  <si>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</si>
  <si>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</si>
  <si>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</si>
  <si>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</si>
  <si>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</si>
  <si>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</si>
  <si>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</si>
  <si>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</si>
  <si>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</si>
  <si>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</si>
  <si>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</si>
  <si>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</si>
  <si>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</si>
  <si>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</si>
  <si>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</si>
  <si>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</si>
  <si>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</si>
  <si>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</si>
  <si>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</si>
  <si>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</si>
  <si>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</si>
  <si>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</si>
  <si>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</si>
  <si>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</si>
  <si>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</si>
  <si>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</si>
  <si>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</si>
  <si>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</si>
  <si>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</si>
  <si>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</si>
  <si>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</si>
  <si>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</si>
  <si>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</si>
  <si>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</si>
  <si>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</si>
  <si>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</si>
  <si>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</si>
  <si>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</si>
  <si>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</si>
  <si>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</si>
  <si>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</si>
  <si>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</si>
  <si>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</si>
  <si>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</si>
  <si>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</si>
  <si>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</si>
  <si>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</si>
  <si>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</si>
  <si>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</si>
  <si>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</si>
  <si>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</si>
  <si>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</si>
  <si>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</si>
  <si>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</si>
  <si>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</si>
  <si>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</si>
  <si>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</si>
  <si>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</si>
  <si>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</si>
  <si>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</si>
  <si>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</si>
  <si>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</si>
  <si>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</si>
  <si>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</si>
  <si>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</si>
  <si>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Debt Service to Banq of America</t>
  </si>
  <si>
    <t>Debt Service to Capital Leases</t>
  </si>
  <si>
    <t>Debt Service to Equiment</t>
  </si>
  <si>
    <t>Fund 1</t>
  </si>
  <si>
    <t>Fund 8</t>
  </si>
  <si>
    <t>CHS Administrative Payroll Support</t>
  </si>
  <si>
    <t>Capital Outlay from CHS</t>
  </si>
  <si>
    <t>Auxiliary Support of Hospitality</t>
  </si>
  <si>
    <t>The Estimated FTE from Budget Office above is a significant drop from the 2020-2021</t>
  </si>
  <si>
    <t xml:space="preserve">the 2020-2021 figures.  The College estimated </t>
  </si>
  <si>
    <t xml:space="preserve">credit hours shown above </t>
  </si>
  <si>
    <t xml:space="preserve">are based on </t>
  </si>
  <si>
    <t>actual FY2021</t>
  </si>
  <si>
    <t xml:space="preserve">enrollment and consistent with expectations for the Panhandle next </t>
  </si>
  <si>
    <t>fiscal year's semesters.  This is true for all</t>
  </si>
  <si>
    <t xml:space="preserve">classifications shown </t>
  </si>
  <si>
    <t>above.</t>
  </si>
  <si>
    <t>Out of State enrollment changed significantly in FY2020-2021 for NWFSC.</t>
  </si>
  <si>
    <t>The above credit hours by classification are</t>
  </si>
  <si>
    <t>based on the assumption</t>
  </si>
  <si>
    <t xml:space="preserve">that similar out </t>
  </si>
  <si>
    <t>state</t>
  </si>
  <si>
    <t>enrollment credit hours for FY2021-2022 will mirror current trends.</t>
  </si>
  <si>
    <t>Fund 2</t>
  </si>
  <si>
    <t>Fund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</si>
</sst>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13607</xdr:rowOff>
        </xdr:from>
        <xdr:to>
          <xdr:col>2</xdr:col>
          <xdr:colOff>208189</xdr:colOff>
          <xdr:row>52</xdr:row>
          <xdr:rowOff>117021</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766</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B11" sqref="B11"/>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Northwest Florida State College</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781</v>
      </c>
      <c r="B6" s="1167"/>
      <c r="C6" s="1167"/>
      <c r="D6" s="1167"/>
      <c r="E6" s="1167"/>
      <c r="F6" s="467"/>
    </row>
    <row r="7" spans="1:8" ht="20.100000000000001" customHeight="1">
      <c r="A7" s="1165"/>
      <c r="B7" s="1165"/>
      <c r="C7" s="1165"/>
      <c r="D7" s="1166"/>
      <c r="E7" s="1166"/>
      <c r="F7" s="426"/>
    </row>
    <row r="8" spans="1:8" ht="24" customHeight="1" thickBot="1">
      <c r="A8" s="1087" t="s">
        <v>627</v>
      </c>
      <c r="B8" s="1087"/>
      <c r="C8" s="1087"/>
      <c r="D8" s="426"/>
      <c r="E8" s="426"/>
      <c r="F8" s="426"/>
      <c r="H8" s="428"/>
    </row>
    <row r="9" spans="1:8" s="37" customFormat="1" ht="64.349999999999994" customHeight="1" thickBot="1">
      <c r="A9" s="373" t="s">
        <v>628</v>
      </c>
      <c r="B9" s="1060" t="s">
        <v>629</v>
      </c>
      <c r="C9" s="392" t="s">
        <v>630</v>
      </c>
      <c r="D9" s="392" t="s">
        <v>631</v>
      </c>
      <c r="E9" s="462" t="s">
        <v>50</v>
      </c>
      <c r="F9" s="468"/>
      <c r="H9" s="459"/>
    </row>
    <row r="10" spans="1:8" s="37" customFormat="1" ht="20.100000000000001" customHeight="1">
      <c r="A10" s="482" t="s">
        <v>632</v>
      </c>
      <c r="B10" s="579">
        <v>9803882</v>
      </c>
      <c r="C10" s="580">
        <f>1382929+14000</f>
        <v>1396929</v>
      </c>
      <c r="D10" s="580">
        <v>202650</v>
      </c>
      <c r="E10" s="483">
        <f>SUM(B10:D10)</f>
        <v>11403461</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0</v>
      </c>
      <c r="C12" s="570">
        <v>0</v>
      </c>
      <c r="D12" s="570">
        <v>0</v>
      </c>
      <c r="E12" s="484">
        <f>SUM(B12:D12)</f>
        <v>0</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2784869</v>
      </c>
      <c r="C14" s="582">
        <v>442602</v>
      </c>
      <c r="D14" s="582">
        <v>34700</v>
      </c>
      <c r="E14" s="484">
        <f t="shared" ref="E14:E20" si="0">SUM(B14:D14)</f>
        <v>3262171</v>
      </c>
      <c r="F14" s="460"/>
    </row>
    <row r="15" spans="1:8" s="37" customFormat="1" ht="20.100000000000001" customHeight="1">
      <c r="A15" s="482" t="s">
        <v>637</v>
      </c>
      <c r="B15" s="581">
        <v>40000</v>
      </c>
      <c r="C15" s="570">
        <v>71669</v>
      </c>
      <c r="D15" s="570">
        <v>3798</v>
      </c>
      <c r="E15" s="484">
        <f>SUM(B15:D15)</f>
        <v>115467</v>
      </c>
      <c r="F15" s="460"/>
    </row>
    <row r="16" spans="1:8" s="37" customFormat="1" ht="20.100000000000001" customHeight="1">
      <c r="A16" s="482" t="s">
        <v>638</v>
      </c>
      <c r="B16" s="581">
        <v>3212679</v>
      </c>
      <c r="C16" s="570">
        <v>771862</v>
      </c>
      <c r="D16" s="570">
        <v>12400</v>
      </c>
      <c r="E16" s="484">
        <f t="shared" si="0"/>
        <v>3996941</v>
      </c>
      <c r="F16" s="460"/>
    </row>
    <row r="17" spans="1:6" s="37" customFormat="1" ht="20.100000000000001" customHeight="1">
      <c r="A17" s="482" t="s">
        <v>639</v>
      </c>
      <c r="B17" s="581">
        <v>4436848</v>
      </c>
      <c r="C17" s="570">
        <v>4790292</v>
      </c>
      <c r="D17" s="570">
        <v>99935</v>
      </c>
      <c r="E17" s="484">
        <f t="shared" si="0"/>
        <v>9327075</v>
      </c>
      <c r="F17" s="460"/>
    </row>
    <row r="18" spans="1:6" s="37" customFormat="1" ht="20.100000000000001" customHeight="1">
      <c r="A18" s="482" t="s">
        <v>640</v>
      </c>
      <c r="B18" s="581">
        <v>1378529</v>
      </c>
      <c r="C18" s="570">
        <v>4264173</v>
      </c>
      <c r="D18" s="570">
        <v>329434</v>
      </c>
      <c r="E18" s="484">
        <f t="shared" si="0"/>
        <v>5972136</v>
      </c>
      <c r="F18" s="460"/>
    </row>
    <row r="19" spans="1:6" s="37" customFormat="1" ht="20.100000000000001" customHeight="1">
      <c r="A19" s="482" t="s">
        <v>641</v>
      </c>
      <c r="B19" s="581">
        <v>0</v>
      </c>
      <c r="C19" s="570">
        <v>0</v>
      </c>
      <c r="D19" s="570">
        <v>0</v>
      </c>
      <c r="E19" s="484">
        <f t="shared" si="0"/>
        <v>0</v>
      </c>
      <c r="F19" s="460"/>
    </row>
    <row r="20" spans="1:6" s="37" customFormat="1" ht="20.100000000000001" customHeight="1" thickBot="1">
      <c r="A20" s="482" t="s">
        <v>642</v>
      </c>
      <c r="B20" s="581">
        <v>0</v>
      </c>
      <c r="C20" s="571">
        <v>1852788</v>
      </c>
      <c r="D20" s="571">
        <v>0</v>
      </c>
      <c r="E20" s="484">
        <f t="shared" si="0"/>
        <v>1852788</v>
      </c>
      <c r="F20" s="460"/>
    </row>
    <row r="21" spans="1:6" s="37" customFormat="1" ht="24" customHeight="1" thickBot="1">
      <c r="A21" s="380" t="s">
        <v>50</v>
      </c>
      <c r="B21" s="461">
        <f>SUM(B10:B20)</f>
        <v>21656807</v>
      </c>
      <c r="C21" s="464">
        <f>SUM(C10:C20)</f>
        <v>13590315</v>
      </c>
      <c r="D21" s="464">
        <f>SUM(D10:D20)</f>
        <v>682917</v>
      </c>
      <c r="E21" s="463">
        <f>SUM(E10:E20)</f>
        <v>35930039</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topLeftCell="A4"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2</xdr:col>
                <xdr:colOff>209550</xdr:colOff>
                <xdr:row>52</xdr:row>
                <xdr:rowOff>38100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0" zoomScale="60" zoomScaleNormal="60" zoomScaleSheetLayoutView="50" zoomScalePageLayoutView="60" workbookViewId="0">
      <selection activeCell="D80" sqref="D80"/>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4" t="s">
        <v>194</v>
      </c>
      <c r="B1" s="1168" t="str">
        <f>'CHECK SHEET'!D7</f>
        <v>Northwest Florida State College</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781</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741</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627849</v>
      </c>
      <c r="E15" s="938">
        <v>0</v>
      </c>
      <c r="F15" s="939">
        <f t="shared" si="0"/>
        <v>627849</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0</v>
      </c>
      <c r="E16" s="938">
        <v>0</v>
      </c>
      <c r="F16" s="939">
        <f t="shared" si="0"/>
        <v>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57805</v>
      </c>
      <c r="E25" s="938">
        <v>0</v>
      </c>
      <c r="F25" s="939">
        <f t="shared" si="0"/>
        <v>57805</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41895</v>
      </c>
      <c r="E30" s="938">
        <v>0</v>
      </c>
      <c r="F30" s="939">
        <f t="shared" si="0"/>
        <v>41895</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f>30111+7042</f>
        <v>37153</v>
      </c>
      <c r="E48" s="938">
        <v>0</v>
      </c>
      <c r="F48" s="939">
        <f t="shared" si="0"/>
        <v>37153</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f>44263+3380</f>
        <v>47643</v>
      </c>
      <c r="E49" s="938">
        <v>0</v>
      </c>
      <c r="F49" s="939">
        <f t="shared" si="0"/>
        <v>47643</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51563</v>
      </c>
      <c r="E54" s="938">
        <v>0</v>
      </c>
      <c r="F54" s="939">
        <f t="shared" si="0"/>
        <v>51563</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863908</v>
      </c>
      <c r="E57" s="349">
        <f>SUM(E10:E56)</f>
        <v>0</v>
      </c>
      <c r="F57" s="349">
        <f t="shared" si="0"/>
        <v>863908</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6"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f>1300+2000+350</f>
        <v>3650</v>
      </c>
      <c r="E64" s="583">
        <v>0</v>
      </c>
      <c r="F64" s="307">
        <f t="shared" si="0"/>
        <v>3650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95</v>
      </c>
      <c r="E65" s="938">
        <v>0</v>
      </c>
      <c r="F65" s="939">
        <f t="shared" si="0"/>
        <v>95</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f>50+1285</f>
        <v>1335</v>
      </c>
      <c r="E67" s="938">
        <v>0</v>
      </c>
      <c r="F67" s="939">
        <f t="shared" si="0"/>
        <v>1335</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f>100+10500+4300</f>
        <v>14900</v>
      </c>
      <c r="E79" s="938">
        <v>0</v>
      </c>
      <c r="F79" s="939">
        <f t="shared" si="0"/>
        <v>14900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0</v>
      </c>
      <c r="E82" s="938">
        <v>0</v>
      </c>
      <c r="F82" s="939">
        <f t="shared" si="1"/>
        <v>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f>2833+10000+2330</f>
        <v>15163</v>
      </c>
      <c r="E83" s="938">
        <v>0</v>
      </c>
      <c r="F83" s="939">
        <f t="shared" si="1"/>
        <v>15163</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19500</v>
      </c>
      <c r="E84" s="938">
        <v>0</v>
      </c>
      <c r="F84" s="939">
        <f t="shared" si="1"/>
        <v>19500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f>135+200</f>
        <v>335</v>
      </c>
      <c r="E86" s="938">
        <v>0</v>
      </c>
      <c r="F86" s="939">
        <f t="shared" si="1"/>
        <v>335</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54978</v>
      </c>
      <c r="E102" s="345">
        <f>SUM(E64:E101)</f>
        <v>0</v>
      </c>
      <c r="F102" s="345">
        <f t="shared" si="1"/>
        <v>54978</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6"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789</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918886</v>
      </c>
      <c r="E120" s="345">
        <f>+E57+E102+E118</f>
        <v>0</v>
      </c>
      <c r="F120" s="345">
        <f>SUM(D120:E120)</f>
        <v>918886</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861609</v>
      </c>
      <c r="E125" s="938">
        <v>0</v>
      </c>
      <c r="F125" s="939">
        <f t="shared" ref="F125:F135" si="3">+D125+E125</f>
        <v>861609</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57277</v>
      </c>
      <c r="E126" s="938">
        <v>0</v>
      </c>
      <c r="F126" s="939">
        <f t="shared" si="3"/>
        <v>57277</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782</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918886</v>
      </c>
      <c r="E136" s="337">
        <f>SUM(E124:E135)</f>
        <v>0</v>
      </c>
      <c r="F136" s="338">
        <f>SUM(F124:F135)</f>
        <v>918886</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4" t="s">
        <v>11</v>
      </c>
      <c r="C1" s="1144"/>
      <c r="D1" s="1144"/>
      <c r="E1" s="1144"/>
      <c r="F1" s="355"/>
      <c r="G1" s="355"/>
    </row>
    <row r="2" spans="2:7" ht="26.25">
      <c r="B2" s="1144" t="s">
        <v>783</v>
      </c>
      <c r="C2" s="1144"/>
      <c r="D2" s="1144"/>
      <c r="E2" s="1144"/>
      <c r="F2" s="355"/>
      <c r="G2" s="355"/>
    </row>
    <row r="3" spans="2:7" ht="21">
      <c r="B3" s="1130"/>
      <c r="C3" s="1130"/>
      <c r="D3" s="1130"/>
      <c r="E3" s="1130"/>
      <c r="F3" s="355"/>
      <c r="G3" s="355"/>
    </row>
    <row r="4" spans="2:7" ht="21.75" thickBot="1">
      <c r="B4" s="1270"/>
      <c r="C4" s="1270"/>
      <c r="D4" s="1270"/>
      <c r="E4" s="1270"/>
      <c r="F4" s="355"/>
      <c r="G4" s="355"/>
    </row>
    <row r="5" spans="2:7" ht="48" customHeight="1">
      <c r="B5" s="1123" t="s">
        <v>676</v>
      </c>
      <c r="C5" s="1250" t="s">
        <v>677</v>
      </c>
      <c r="D5" s="1251"/>
      <c r="E5" s="1252"/>
    </row>
    <row r="6" spans="2: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6" t="s">
        <v>685</v>
      </c>
      <c r="C13" s="1247" t="s">
        <v>677</v>
      </c>
      <c r="D13" s="1248"/>
      <c r="E13" s="1249"/>
    </row>
    <row r="14" spans="2: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7" t="s">
        <v>691</v>
      </c>
      <c r="C23" s="1253" t="s">
        <v>677</v>
      </c>
      <c r="D23" s="1254"/>
      <c r="E23" s="1255"/>
    </row>
    <row r="24" spans="2:5">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8" t="s">
        <v>693</v>
      </c>
      <c r="C31" s="1247" t="s">
        <v>677</v>
      </c>
      <c r="D31" s="1248"/>
      <c r="E31" s="1256"/>
    </row>
    <row r="32" spans="2:5">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6.5" thickBot="1">
      <c r="B55" s="357"/>
      <c r="C55" s="359"/>
      <c r="D55" s="359"/>
      <c r="E55" s="359"/>
    </row>
    <row r="56" spans="2:5" ht="33" customHeight="1">
      <c r="B56" s="1113" t="s">
        <v>699</v>
      </c>
      <c r="C56" s="1253" t="s">
        <v>677</v>
      </c>
      <c r="D56" s="1254"/>
      <c r="E56" s="1255"/>
    </row>
    <row r="57" spans="2:5">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7" t="s">
        <v>705</v>
      </c>
      <c r="C72" s="1253" t="s">
        <v>706</v>
      </c>
      <c r="D72" s="1254"/>
      <c r="E72" s="1255"/>
    </row>
    <row r="73" spans="2:16">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6"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4" t="s">
        <v>11</v>
      </c>
      <c r="B1" s="1144"/>
      <c r="C1" s="1144"/>
    </row>
    <row r="2" spans="1:21" s="103" customFormat="1" ht="21" customHeight="1" thickBot="1">
      <c r="A2" s="1144" t="s">
        <v>784</v>
      </c>
      <c r="B2" s="1144"/>
      <c r="C2" s="1144"/>
      <c r="D2" s="104"/>
      <c r="E2" s="104"/>
      <c r="F2" s="104"/>
      <c r="G2" s="104"/>
      <c r="H2" s="104"/>
      <c r="I2" s="104"/>
      <c r="J2" s="104"/>
      <c r="K2" s="104"/>
      <c r="L2" s="104"/>
      <c r="M2" s="104"/>
      <c r="N2" s="104"/>
      <c r="O2" s="104"/>
      <c r="P2" s="104"/>
      <c r="Q2" s="104"/>
      <c r="R2" s="104"/>
      <c r="S2" s="104"/>
      <c r="T2" s="104"/>
      <c r="U2" s="104"/>
    </row>
    <row r="3" spans="1:21" s="103" customFormat="1" ht="26.4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9" t="s">
        <v>730</v>
      </c>
      <c r="B30" s="1259"/>
      <c r="C30" s="1259"/>
    </row>
    <row r="31" spans="1:21" ht="14.45" customHeight="1">
      <c r="A31" s="1260"/>
      <c r="B31" s="1260"/>
      <c r="C31" s="1260"/>
    </row>
    <row r="32" spans="1:21" ht="31.35" customHeight="1">
      <c r="A32" s="1259" t="s">
        <v>731</v>
      </c>
      <c r="B32" s="1259"/>
      <c r="C32" s="1259"/>
    </row>
    <row r="33" spans="1:3" ht="14.45" customHeight="1">
      <c r="A33" s="1260"/>
      <c r="B33" s="1260"/>
      <c r="C33" s="1260"/>
    </row>
    <row r="34" spans="1:3" ht="30" customHeight="1">
      <c r="A34" s="1259" t="s">
        <v>732</v>
      </c>
      <c r="B34" s="1259"/>
      <c r="C34" s="1259"/>
    </row>
    <row r="35" spans="1:3" ht="14.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785</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75" t="s">
        <v>14</v>
      </c>
      <c r="B1" s="1275"/>
      <c r="C1" s="1275"/>
      <c r="D1" s="1275"/>
      <c r="E1" s="18"/>
      <c r="F1" s="19"/>
    </row>
    <row r="2" spans="1:10" ht="33.6" customHeight="1" thickBot="1">
      <c r="A2" s="1282" t="s">
        <v>15</v>
      </c>
      <c r="B2" s="1282"/>
      <c r="C2" s="1282"/>
      <c r="D2" s="1282"/>
      <c r="E2" s="19"/>
    </row>
    <row r="3" spans="1:10" ht="25.35" customHeight="1" thickBot="1">
      <c r="A3" s="77"/>
      <c r="B3" s="78" t="s">
        <v>747</v>
      </c>
      <c r="C3" s="79"/>
      <c r="D3" s="88"/>
      <c r="E3" s="87"/>
      <c r="F3" s="25"/>
    </row>
    <row r="4" spans="1:10" ht="25.35" customHeight="1" thickBot="1">
      <c r="A4" s="77">
        <v>1</v>
      </c>
      <c r="B4" s="64">
        <v>2</v>
      </c>
      <c r="C4" s="64">
        <v>3</v>
      </c>
      <c r="D4" s="64">
        <v>4</v>
      </c>
      <c r="E4" s="68"/>
      <c r="F4" s="25"/>
    </row>
    <row r="5" spans="1:10" ht="44.1" customHeight="1">
      <c r="A5" s="771" t="s">
        <v>16</v>
      </c>
      <c r="B5" s="1285" t="s">
        <v>786</v>
      </c>
      <c r="C5" s="1286"/>
      <c r="D5" s="1287"/>
      <c r="E5" s="732"/>
      <c r="F5" s="22"/>
    </row>
    <row r="6" spans="1:10" ht="89.1" customHeight="1" thickBot="1">
      <c r="A6" s="528" t="s">
        <v>17</v>
      </c>
      <c r="B6" s="76" t="s">
        <v>18</v>
      </c>
      <c r="C6" s="92" t="s">
        <v>19</v>
      </c>
      <c r="D6" s="91" t="s">
        <v>20</v>
      </c>
      <c r="E6" s="25"/>
      <c r="F6" s="22"/>
    </row>
    <row r="7" spans="1:10" ht="25.35" customHeight="1">
      <c r="A7" s="527" t="s">
        <v>21</v>
      </c>
      <c r="B7" s="1180">
        <v>37906780</v>
      </c>
      <c r="C7" s="1181">
        <v>7485794</v>
      </c>
      <c r="D7" s="98">
        <f t="shared" ref="D7:D34" si="0">SUM(B7:C7)</f>
        <v>45392574</v>
      </c>
      <c r="E7" s="561"/>
      <c r="F7" s="562"/>
      <c r="G7" s="59"/>
      <c r="I7" s="59"/>
      <c r="J7" s="59"/>
    </row>
    <row r="8" spans="1:10" ht="25.35" customHeight="1">
      <c r="A8" s="504" t="s">
        <v>22</v>
      </c>
      <c r="B8" s="1182">
        <v>77191852</v>
      </c>
      <c r="C8" s="1183">
        <v>14953668</v>
      </c>
      <c r="D8" s="89">
        <f t="shared" si="0"/>
        <v>92145520</v>
      </c>
      <c r="E8" s="532"/>
      <c r="F8" s="59"/>
      <c r="G8" s="59"/>
      <c r="I8" s="59"/>
      <c r="J8" s="59"/>
    </row>
    <row r="9" spans="1:10" ht="25.35" customHeight="1">
      <c r="A9" s="504" t="s">
        <v>23</v>
      </c>
      <c r="B9" s="1182">
        <v>25137727</v>
      </c>
      <c r="C9" s="1183">
        <v>4147257</v>
      </c>
      <c r="D9" s="89">
        <f t="shared" si="0"/>
        <v>29284984</v>
      </c>
      <c r="E9" s="532"/>
      <c r="F9" s="59"/>
      <c r="G9" s="59"/>
      <c r="I9" s="59"/>
      <c r="J9" s="59"/>
    </row>
    <row r="10" spans="1:10" ht="25.35" customHeight="1">
      <c r="A10" s="504" t="s">
        <v>24</v>
      </c>
      <c r="B10" s="1182">
        <v>10122783</v>
      </c>
      <c r="C10" s="1183">
        <v>2430298</v>
      </c>
      <c r="D10" s="89">
        <f t="shared" si="0"/>
        <v>12553081</v>
      </c>
      <c r="E10" s="532"/>
      <c r="F10" s="59"/>
      <c r="G10" s="59"/>
      <c r="I10" s="59"/>
      <c r="J10" s="59"/>
    </row>
    <row r="11" spans="1:10" ht="25.35" customHeight="1">
      <c r="A11" s="504" t="s">
        <v>25</v>
      </c>
      <c r="B11" s="1182">
        <v>43084116</v>
      </c>
      <c r="C11" s="1183">
        <v>9117159</v>
      </c>
      <c r="D11" s="89">
        <f t="shared" si="0"/>
        <v>52201275</v>
      </c>
      <c r="E11" s="532"/>
      <c r="F11" s="59"/>
      <c r="G11" s="59"/>
      <c r="I11" s="59"/>
      <c r="J11" s="59"/>
    </row>
    <row r="12" spans="1:10" ht="25.35" customHeight="1">
      <c r="A12" s="504" t="s">
        <v>26</v>
      </c>
      <c r="B12" s="1182">
        <v>31271582</v>
      </c>
      <c r="C12" s="1183">
        <v>5649896</v>
      </c>
      <c r="D12" s="89">
        <f t="shared" si="0"/>
        <v>36921478</v>
      </c>
      <c r="E12" s="532"/>
      <c r="F12" s="59"/>
      <c r="G12" s="59"/>
      <c r="I12" s="59"/>
      <c r="J12" s="59"/>
    </row>
    <row r="13" spans="1:10" ht="25.35" customHeight="1">
      <c r="A13" s="504" t="s">
        <v>27</v>
      </c>
      <c r="B13" s="1182">
        <v>65269763</v>
      </c>
      <c r="C13" s="1183">
        <v>13606923</v>
      </c>
      <c r="D13" s="89">
        <f t="shared" si="0"/>
        <v>78876686</v>
      </c>
      <c r="E13" s="532"/>
      <c r="F13" s="59"/>
      <c r="G13" s="59"/>
      <c r="I13" s="59"/>
      <c r="J13" s="59"/>
    </row>
    <row r="14" spans="1:10" ht="25.35" customHeight="1">
      <c r="A14" s="504" t="s">
        <v>28</v>
      </c>
      <c r="B14" s="1182">
        <v>7306183</v>
      </c>
      <c r="C14" s="1183">
        <v>1168674</v>
      </c>
      <c r="D14" s="89">
        <f t="shared" si="0"/>
        <v>8474857</v>
      </c>
      <c r="E14" s="532"/>
      <c r="F14" s="59"/>
      <c r="G14" s="59"/>
      <c r="I14" s="59"/>
      <c r="J14" s="59"/>
    </row>
    <row r="15" spans="1:10" ht="25.35" customHeight="1">
      <c r="A15" s="504" t="s">
        <v>29</v>
      </c>
      <c r="B15" s="1182">
        <v>20724248</v>
      </c>
      <c r="C15" s="1183">
        <v>3791300</v>
      </c>
      <c r="D15" s="89">
        <f t="shared" si="0"/>
        <v>24515548</v>
      </c>
      <c r="E15" s="532"/>
      <c r="F15" s="59"/>
      <c r="G15" s="59"/>
      <c r="I15" s="59"/>
      <c r="J15" s="59"/>
    </row>
    <row r="16" spans="1:10" ht="25.35" customHeight="1">
      <c r="A16" s="504" t="s">
        <v>30</v>
      </c>
      <c r="B16" s="1182">
        <v>61643784</v>
      </c>
      <c r="C16" s="1183">
        <v>9784781</v>
      </c>
      <c r="D16" s="89">
        <f t="shared" si="0"/>
        <v>71428565</v>
      </c>
      <c r="E16" s="532"/>
      <c r="F16" s="59"/>
      <c r="G16" s="59"/>
      <c r="I16" s="59"/>
      <c r="J16" s="59"/>
    </row>
    <row r="17" spans="1:10" ht="25.35" customHeight="1">
      <c r="A17" s="504" t="s">
        <v>31</v>
      </c>
      <c r="B17" s="1182">
        <v>43222200</v>
      </c>
      <c r="C17" s="1183">
        <v>8200771</v>
      </c>
      <c r="D17" s="89">
        <f t="shared" si="0"/>
        <v>51422971</v>
      </c>
      <c r="E17" s="532"/>
      <c r="F17" s="59"/>
      <c r="G17" s="59"/>
      <c r="I17" s="59"/>
      <c r="J17" s="59"/>
    </row>
    <row r="18" spans="1:10" ht="25.35" customHeight="1">
      <c r="A18" s="504" t="s">
        <v>32</v>
      </c>
      <c r="B18" s="1182">
        <v>12343150</v>
      </c>
      <c r="C18" s="1183">
        <v>2397283</v>
      </c>
      <c r="D18" s="89">
        <f t="shared" si="0"/>
        <v>14740433</v>
      </c>
      <c r="E18" s="532"/>
      <c r="F18" s="59"/>
      <c r="G18" s="59"/>
      <c r="I18" s="59"/>
      <c r="J18" s="59"/>
    </row>
    <row r="19" spans="1:10" ht="25.35" customHeight="1">
      <c r="A19" s="504" t="s">
        <v>33</v>
      </c>
      <c r="B19" s="1182">
        <v>13071677</v>
      </c>
      <c r="C19" s="1183">
        <v>2317578</v>
      </c>
      <c r="D19" s="89">
        <f t="shared" si="0"/>
        <v>15389255</v>
      </c>
      <c r="E19" s="532"/>
      <c r="F19" s="59"/>
      <c r="G19" s="59"/>
      <c r="I19" s="59"/>
      <c r="J19" s="59"/>
    </row>
    <row r="20" spans="1:10" ht="25.35" customHeight="1">
      <c r="A20" s="504" t="s">
        <v>34</v>
      </c>
      <c r="B20" s="1182">
        <v>22363091</v>
      </c>
      <c r="C20" s="1183">
        <v>3901568</v>
      </c>
      <c r="D20" s="89">
        <f t="shared" si="0"/>
        <v>26264659</v>
      </c>
      <c r="E20" s="532"/>
      <c r="F20" s="59"/>
      <c r="G20" s="59"/>
      <c r="I20" s="59"/>
      <c r="J20" s="59"/>
    </row>
    <row r="21" spans="1:10" ht="25.35" customHeight="1">
      <c r="A21" s="504" t="s">
        <v>35</v>
      </c>
      <c r="B21" s="1182">
        <v>148245620</v>
      </c>
      <c r="C21" s="1183">
        <v>30660327</v>
      </c>
      <c r="D21" s="89">
        <f t="shared" si="0"/>
        <v>178905947</v>
      </c>
      <c r="E21" s="532"/>
      <c r="F21" s="59"/>
      <c r="G21" s="59"/>
      <c r="I21" s="59"/>
      <c r="J21" s="59"/>
    </row>
    <row r="22" spans="1:10" ht="25.35" customHeight="1">
      <c r="A22" s="504" t="s">
        <v>36</v>
      </c>
      <c r="B22" s="1182">
        <v>6918250</v>
      </c>
      <c r="C22" s="1183">
        <v>1263365</v>
      </c>
      <c r="D22" s="89">
        <f t="shared" si="0"/>
        <v>8181615</v>
      </c>
      <c r="E22" s="532"/>
      <c r="F22" s="59"/>
      <c r="G22" s="59"/>
      <c r="I22" s="59"/>
      <c r="J22" s="59"/>
    </row>
    <row r="23" spans="1:10" ht="25.35" customHeight="1">
      <c r="A23" s="504" t="s">
        <v>37</v>
      </c>
      <c r="B23" s="1182">
        <v>17140914</v>
      </c>
      <c r="C23" s="1183">
        <v>3384175</v>
      </c>
      <c r="D23" s="89">
        <f t="shared" si="0"/>
        <v>20525089</v>
      </c>
      <c r="E23" s="532"/>
      <c r="F23" s="59"/>
      <c r="G23" s="59"/>
      <c r="I23" s="59"/>
      <c r="J23" s="59"/>
    </row>
    <row r="24" spans="1:10" ht="25.35" customHeight="1">
      <c r="A24" s="504" t="s">
        <v>38</v>
      </c>
      <c r="B24" s="1182">
        <v>58017036</v>
      </c>
      <c r="C24" s="1183">
        <v>9949475</v>
      </c>
      <c r="D24" s="89">
        <f t="shared" si="0"/>
        <v>67966511</v>
      </c>
      <c r="E24" s="532"/>
      <c r="F24" s="59"/>
      <c r="G24" s="59"/>
      <c r="I24" s="59"/>
      <c r="J24" s="59"/>
    </row>
    <row r="25" spans="1:10" ht="25.35" customHeight="1">
      <c r="A25" s="504" t="s">
        <v>39</v>
      </c>
      <c r="B25" s="1182">
        <v>33552231</v>
      </c>
      <c r="C25" s="1183">
        <v>4621140</v>
      </c>
      <c r="D25" s="89">
        <f t="shared" si="0"/>
        <v>38173371</v>
      </c>
      <c r="E25" s="532"/>
      <c r="F25" s="59"/>
      <c r="G25" s="59"/>
      <c r="I25" s="59"/>
      <c r="J25" s="59"/>
    </row>
    <row r="26" spans="1:10" ht="25.35" customHeight="1">
      <c r="A26" s="504" t="s">
        <v>40</v>
      </c>
      <c r="B26" s="1182">
        <v>32146954</v>
      </c>
      <c r="C26" s="1183">
        <v>6062173</v>
      </c>
      <c r="D26" s="89">
        <f t="shared" si="0"/>
        <v>38209127</v>
      </c>
      <c r="E26" s="532"/>
      <c r="F26" s="59"/>
      <c r="G26" s="59"/>
      <c r="I26" s="59"/>
      <c r="J26" s="59"/>
    </row>
    <row r="27" spans="1:10" ht="25.35" customHeight="1">
      <c r="A27" s="504" t="s">
        <v>41</v>
      </c>
      <c r="B27" s="1182">
        <v>34006344</v>
      </c>
      <c r="C27" s="1183">
        <v>4660748</v>
      </c>
      <c r="D27" s="89">
        <f t="shared" si="0"/>
        <v>38667092</v>
      </c>
      <c r="E27" s="532"/>
      <c r="F27" s="59"/>
      <c r="G27" s="59"/>
      <c r="I27" s="59"/>
      <c r="J27" s="59"/>
    </row>
    <row r="28" spans="1:10" ht="25.35" customHeight="1">
      <c r="A28" s="504" t="s">
        <v>42</v>
      </c>
      <c r="B28" s="1182">
        <v>21776932</v>
      </c>
      <c r="C28" s="1183">
        <v>3236588</v>
      </c>
      <c r="D28" s="89">
        <f t="shared" si="0"/>
        <v>25013520</v>
      </c>
      <c r="E28" s="532"/>
      <c r="F28" s="59"/>
      <c r="G28" s="59"/>
      <c r="I28" s="59"/>
      <c r="J28" s="59"/>
    </row>
    <row r="29" spans="1:10" ht="25.35" customHeight="1">
      <c r="A29" s="504" t="s">
        <v>43</v>
      </c>
      <c r="B29" s="1182">
        <v>66706554</v>
      </c>
      <c r="C29" s="1183">
        <v>12104813</v>
      </c>
      <c r="D29" s="89">
        <f t="shared" si="0"/>
        <v>78811367</v>
      </c>
      <c r="E29" s="532"/>
      <c r="F29" s="59"/>
      <c r="G29" s="59"/>
      <c r="I29" s="59"/>
      <c r="J29" s="59"/>
    </row>
    <row r="30" spans="1:10" ht="25.35" customHeight="1">
      <c r="A30" s="504" t="s">
        <v>44</v>
      </c>
      <c r="B30" s="1182">
        <v>38518774</v>
      </c>
      <c r="C30" s="1183">
        <v>5933828</v>
      </c>
      <c r="D30" s="89">
        <f t="shared" si="0"/>
        <v>44452602</v>
      </c>
      <c r="E30" s="532"/>
      <c r="F30" s="59"/>
      <c r="G30" s="59"/>
      <c r="I30" s="59"/>
      <c r="J30" s="59"/>
    </row>
    <row r="31" spans="1:10" ht="25.35" customHeight="1">
      <c r="A31" s="504" t="s">
        <v>45</v>
      </c>
      <c r="B31" s="1182">
        <v>40112438</v>
      </c>
      <c r="C31" s="1183">
        <v>6458496</v>
      </c>
      <c r="D31" s="89">
        <f t="shared" si="0"/>
        <v>46570934</v>
      </c>
      <c r="E31" s="532"/>
      <c r="F31" s="59"/>
      <c r="G31" s="59"/>
      <c r="I31" s="59"/>
      <c r="J31" s="59"/>
    </row>
    <row r="32" spans="1:10" ht="25.35" customHeight="1">
      <c r="A32" s="504" t="s">
        <v>46</v>
      </c>
      <c r="B32" s="1182">
        <v>17437031</v>
      </c>
      <c r="C32" s="1183">
        <v>2799758</v>
      </c>
      <c r="D32" s="89">
        <f t="shared" si="0"/>
        <v>20236789</v>
      </c>
      <c r="E32" s="532"/>
      <c r="F32" s="59"/>
      <c r="G32" s="59"/>
      <c r="I32" s="59" t="s">
        <v>47</v>
      </c>
      <c r="J32" s="59"/>
    </row>
    <row r="33" spans="1:21" ht="25.35" customHeight="1">
      <c r="A33" s="504" t="s">
        <v>48</v>
      </c>
      <c r="B33" s="1182">
        <v>29269153</v>
      </c>
      <c r="C33" s="1183">
        <v>5576841</v>
      </c>
      <c r="D33" s="89">
        <f t="shared" si="0"/>
        <v>34845994</v>
      </c>
      <c r="E33" s="532"/>
      <c r="F33" s="59"/>
      <c r="G33" s="59"/>
      <c r="I33" s="532"/>
      <c r="J33" s="59"/>
      <c r="K33" s="532"/>
    </row>
    <row r="34" spans="1:21" ht="25.35" customHeight="1">
      <c r="A34" s="505" t="s">
        <v>49</v>
      </c>
      <c r="B34" s="1182">
        <v>84933611</v>
      </c>
      <c r="C34" s="1183">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9" t="s">
        <v>51</v>
      </c>
      <c r="B36" s="1309"/>
      <c r="C36" s="1309"/>
      <c r="D36" s="1309"/>
      <c r="E36" s="611"/>
      <c r="F36" s="24"/>
      <c r="K36" s="532"/>
    </row>
    <row r="37" spans="1:21" ht="44.45" customHeight="1">
      <c r="A37" s="1308" t="s">
        <v>748</v>
      </c>
      <c r="B37" s="1308"/>
      <c r="C37" s="1308"/>
      <c r="D37" s="1308"/>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749</v>
      </c>
      <c r="B40" s="1176" t="s">
        <v>759</v>
      </c>
      <c r="C40" s="1177"/>
      <c r="D40" s="1177"/>
      <c r="E40" s="1178"/>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8" t="str">
        <f>A10</f>
        <v>Chipola College</v>
      </c>
      <c r="B43" s="791" t="s">
        <v>56</v>
      </c>
      <c r="C43" s="792">
        <v>200000</v>
      </c>
      <c r="D43" s="792"/>
      <c r="E43" s="793">
        <f t="shared" ref="E43:E56" si="1">C43+D43</f>
        <v>200000</v>
      </c>
    </row>
    <row r="44" spans="1:21" ht="42">
      <c r="A44" s="1189" t="str">
        <f>A11</f>
        <v>Daytona State College</v>
      </c>
      <c r="B44" s="794" t="s">
        <v>57</v>
      </c>
      <c r="C44" s="792">
        <v>500000</v>
      </c>
      <c r="D44" s="792"/>
      <c r="E44" s="793">
        <f t="shared" si="1"/>
        <v>500000</v>
      </c>
      <c r="H44" s="24"/>
    </row>
    <row r="45" spans="1:21" ht="43.35" customHeight="1">
      <c r="A45" s="1187" t="s">
        <v>25</v>
      </c>
      <c r="B45" s="794" t="s">
        <v>58</v>
      </c>
      <c r="C45" s="792"/>
      <c r="D45" s="792">
        <v>200000</v>
      </c>
      <c r="E45" s="793">
        <f t="shared" si="1"/>
        <v>200000</v>
      </c>
      <c r="H45" s="24"/>
    </row>
    <row r="46" spans="1:21" ht="62.45" customHeight="1">
      <c r="A46" s="1187" t="s">
        <v>30</v>
      </c>
      <c r="B46" s="794" t="s">
        <v>59</v>
      </c>
      <c r="C46" s="792">
        <v>2500000</v>
      </c>
      <c r="D46" s="792"/>
      <c r="E46" s="793">
        <f t="shared" si="1"/>
        <v>2500000</v>
      </c>
      <c r="H46" s="24"/>
    </row>
    <row r="47" spans="1:21">
      <c r="A47" s="1187" t="str">
        <f>A25</f>
        <v>Pasco-Hernando State College</v>
      </c>
      <c r="B47" s="794" t="s">
        <v>61</v>
      </c>
      <c r="C47" s="792">
        <v>2306271</v>
      </c>
      <c r="D47" s="792"/>
      <c r="E47" s="793">
        <f>C47+D47</f>
        <v>2306271</v>
      </c>
      <c r="H47" s="24"/>
    </row>
    <row r="48" spans="1:21" ht="63">
      <c r="A48" s="1187" t="s">
        <v>39</v>
      </c>
      <c r="B48" s="1190" t="s">
        <v>752</v>
      </c>
      <c r="C48" s="1185"/>
      <c r="D48" s="1185">
        <v>1000000</v>
      </c>
      <c r="E48" s="793">
        <f t="shared" ref="E48:E51" si="2">C48+D48</f>
        <v>1000000</v>
      </c>
      <c r="H48" s="24"/>
    </row>
    <row r="49" spans="1:8" ht="42">
      <c r="A49" s="1191" t="s">
        <v>43</v>
      </c>
      <c r="B49" s="794" t="s">
        <v>753</v>
      </c>
      <c r="C49" s="792"/>
      <c r="D49" s="792">
        <v>510000</v>
      </c>
      <c r="E49" s="793">
        <f t="shared" si="2"/>
        <v>510000</v>
      </c>
      <c r="H49" s="24"/>
    </row>
    <row r="50" spans="1:8" ht="42">
      <c r="A50" s="1191" t="s">
        <v>43</v>
      </c>
      <c r="B50" s="794" t="s">
        <v>754</v>
      </c>
      <c r="C50" s="792"/>
      <c r="D50" s="792">
        <v>674484</v>
      </c>
      <c r="E50" s="793">
        <f t="shared" si="2"/>
        <v>674484</v>
      </c>
      <c r="H50" s="24"/>
    </row>
    <row r="51" spans="1:8" ht="42">
      <c r="A51" s="1191" t="s">
        <v>757</v>
      </c>
      <c r="B51" s="794" t="s">
        <v>755</v>
      </c>
      <c r="C51" s="792"/>
      <c r="D51" s="792">
        <v>250000</v>
      </c>
      <c r="E51" s="793">
        <f t="shared" si="2"/>
        <v>250000</v>
      </c>
      <c r="H51" s="24"/>
    </row>
    <row r="52" spans="1:8" ht="62.45" customHeight="1">
      <c r="A52" s="1191" t="s">
        <v>46</v>
      </c>
      <c r="B52" s="744" t="s">
        <v>738</v>
      </c>
      <c r="C52" s="745"/>
      <c r="D52" s="745">
        <v>1000000</v>
      </c>
      <c r="E52" s="793">
        <f t="shared" si="1"/>
        <v>1000000</v>
      </c>
      <c r="H52" s="24"/>
    </row>
    <row r="53" spans="1:8" ht="62.45" customHeight="1">
      <c r="A53" s="1191" t="s">
        <v>758</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756</v>
      </c>
      <c r="C56" s="735"/>
      <c r="D56" s="735">
        <v>1000000</v>
      </c>
      <c r="E56" s="1194">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741</v>
      </c>
      <c r="B61" s="508" t="str">
        <f>B3</f>
        <v>Date Updated:   05.5.21    BY:  EN</v>
      </c>
      <c r="C61" s="53" t="s">
        <v>10</v>
      </c>
      <c r="D61" s="53"/>
      <c r="F61" s="24"/>
      <c r="G61" s="24"/>
      <c r="H61" s="24"/>
    </row>
    <row r="62" spans="1:8" ht="45" customHeight="1" thickBot="1">
      <c r="A62" s="1301" t="s">
        <v>760</v>
      </c>
      <c r="B62" s="1302"/>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750</v>
      </c>
      <c r="B69" s="1305" t="str">
        <f>B3</f>
        <v>Date Updated:   05.5.21    BY:  EN</v>
      </c>
      <c r="C69" s="1306"/>
      <c r="D69" s="1306"/>
      <c r="E69" s="1307"/>
      <c r="F69" s="21"/>
      <c r="G69" s="53"/>
      <c r="H69" s="24"/>
    </row>
    <row r="70" spans="1:13" ht="87.6" customHeight="1" thickBot="1">
      <c r="A70" s="50" t="s">
        <v>17</v>
      </c>
      <c r="B70" s="30" t="s">
        <v>751</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3" t="s">
        <v>765</v>
      </c>
      <c r="B102" s="1283"/>
      <c r="C102" s="1283"/>
      <c r="D102" s="1283"/>
      <c r="E102" s="1283"/>
      <c r="F102" s="1283"/>
      <c r="G102" s="1283"/>
      <c r="H102" s="1283"/>
      <c r="I102" s="1283"/>
      <c r="J102" s="1283"/>
      <c r="K102" s="1283"/>
      <c r="L102" s="1283"/>
      <c r="M102" s="1283"/>
      <c r="N102" s="1283"/>
      <c r="O102" s="1283"/>
      <c r="P102" s="1283"/>
      <c r="Q102" s="1283"/>
      <c r="R102" s="1283"/>
    </row>
    <row r="103" spans="1:54" ht="20.100000000000001" customHeight="1">
      <c r="A103" s="1281" t="s">
        <v>72</v>
      </c>
      <c r="B103" s="1281"/>
      <c r="C103" s="1281"/>
      <c r="D103" s="1281"/>
      <c r="E103" s="1281"/>
      <c r="F103" s="1281"/>
      <c r="G103" s="1281"/>
      <c r="H103" s="1281"/>
      <c r="I103" s="1281"/>
      <c r="J103" s="1281"/>
      <c r="K103" s="1281"/>
      <c r="L103" s="1281"/>
      <c r="M103" s="1281"/>
      <c r="N103" s="1281"/>
      <c r="O103" s="1281"/>
      <c r="P103" s="1281"/>
      <c r="Q103" s="1281"/>
      <c r="R103" s="128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81" t="s">
        <v>74</v>
      </c>
      <c r="B105" s="1281"/>
      <c r="C105" s="1281"/>
      <c r="D105" s="1281"/>
      <c r="E105" s="1281"/>
      <c r="F105" s="1281"/>
      <c r="G105" s="1281"/>
      <c r="H105" s="1281"/>
      <c r="I105" s="1281"/>
      <c r="J105" s="1281"/>
      <c r="K105" s="1281"/>
      <c r="L105" s="1281"/>
      <c r="M105" s="1281"/>
      <c r="N105" s="1281"/>
      <c r="O105" s="1281"/>
      <c r="P105" s="1281"/>
      <c r="Q105" s="1281"/>
      <c r="R105" s="1281"/>
    </row>
    <row r="106" spans="1:54" ht="20.100000000000001" customHeight="1">
      <c r="A106" s="1281"/>
      <c r="B106" s="1281"/>
      <c r="C106" s="1281"/>
      <c r="D106" s="1281"/>
      <c r="E106" s="1281"/>
      <c r="F106" s="1281"/>
      <c r="G106" s="1281"/>
    </row>
    <row r="107" spans="1:54" ht="32.450000000000003" customHeight="1" thickBot="1">
      <c r="E107" s="603"/>
      <c r="F107" s="603"/>
      <c r="G107" s="603"/>
      <c r="H107" s="27"/>
      <c r="I107" s="27"/>
      <c r="J107" s="27"/>
      <c r="K107" s="27"/>
    </row>
    <row r="108" spans="1:54" ht="43.35" customHeight="1" thickBot="1">
      <c r="A108" s="58" t="s">
        <v>761</v>
      </c>
      <c r="B108" s="1276" t="s">
        <v>764</v>
      </c>
      <c r="C108" s="1277"/>
      <c r="D108" s="1278"/>
      <c r="E108" s="1279" t="s">
        <v>75</v>
      </c>
      <c r="F108" s="1279"/>
      <c r="G108" s="1279"/>
      <c r="H108" s="1279"/>
      <c r="I108" s="1279"/>
      <c r="J108" s="1279"/>
      <c r="K108" s="1279"/>
      <c r="L108" s="1279"/>
      <c r="M108" s="1279"/>
      <c r="N108" s="1279"/>
      <c r="O108" s="1279"/>
      <c r="P108" s="1279"/>
      <c r="Q108" s="1279"/>
      <c r="R108" s="1279"/>
      <c r="S108" s="128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99" t="s">
        <v>76</v>
      </c>
      <c r="U109" s="38"/>
      <c r="V109" s="55">
        <v>20</v>
      </c>
      <c r="W109" s="773">
        <v>21</v>
      </c>
      <c r="X109" s="773">
        <v>22</v>
      </c>
      <c r="Y109" s="73"/>
      <c r="Z109" s="773">
        <v>23</v>
      </c>
      <c r="AA109" s="773">
        <v>24</v>
      </c>
      <c r="AB109" s="774">
        <v>25</v>
      </c>
      <c r="AC109" s="40"/>
      <c r="AD109" s="37"/>
    </row>
    <row r="110" spans="1:54" ht="29.45" customHeight="1" thickBot="1">
      <c r="A110" s="67" t="s">
        <v>77</v>
      </c>
      <c r="B110" s="1311" t="s">
        <v>78</v>
      </c>
      <c r="C110" s="1312"/>
      <c r="D110" s="1313"/>
      <c r="E110" s="39"/>
      <c r="F110" s="1315" t="s">
        <v>79</v>
      </c>
      <c r="G110" s="1315"/>
      <c r="H110" s="1315"/>
      <c r="I110" s="1315"/>
      <c r="J110" s="1315"/>
      <c r="K110" s="1315"/>
      <c r="L110" s="1315"/>
      <c r="M110" s="1315"/>
      <c r="N110" s="1315"/>
      <c r="O110" s="1315"/>
      <c r="P110" s="1315"/>
      <c r="Q110" s="1316" t="s">
        <v>80</v>
      </c>
      <c r="R110" s="1317"/>
      <c r="S110" s="1318"/>
      <c r="T110" s="1300"/>
      <c r="U110" s="41"/>
      <c r="V110" s="42"/>
      <c r="W110" s="43"/>
      <c r="X110" s="44"/>
      <c r="Y110" s="74"/>
      <c r="Z110" s="1321"/>
      <c r="AA110" s="1322"/>
      <c r="AB110" s="1323"/>
      <c r="AC110" s="22"/>
      <c r="AD110" s="733" t="s">
        <v>81</v>
      </c>
      <c r="AF110" s="36"/>
      <c r="AG110" s="37"/>
    </row>
    <row r="111" spans="1:54" ht="66" customHeight="1" thickBot="1">
      <c r="A111" s="45"/>
      <c r="B111" s="1291" t="s">
        <v>82</v>
      </c>
      <c r="C111" s="1292"/>
      <c r="D111" s="1293"/>
      <c r="E111" s="1291" t="s">
        <v>83</v>
      </c>
      <c r="F111" s="1292"/>
      <c r="G111" s="1293"/>
      <c r="H111" s="1291" t="s">
        <v>84</v>
      </c>
      <c r="I111" s="1292"/>
      <c r="J111" s="1293"/>
      <c r="K111" s="1294" t="s">
        <v>85</v>
      </c>
      <c r="L111" s="1294"/>
      <c r="M111" s="1294"/>
      <c r="N111" s="1295" t="s">
        <v>86</v>
      </c>
      <c r="O111" s="1296"/>
      <c r="P111" s="1297"/>
      <c r="Q111" s="1295" t="s">
        <v>87</v>
      </c>
      <c r="R111" s="1296"/>
      <c r="S111" s="1297"/>
      <c r="T111" s="1319" t="s">
        <v>88</v>
      </c>
      <c r="U111" s="26"/>
      <c r="V111" s="1288" t="s">
        <v>89</v>
      </c>
      <c r="W111" s="1289"/>
      <c r="X111" s="1298"/>
      <c r="Y111" s="69"/>
      <c r="Z111" s="1288" t="s">
        <v>90</v>
      </c>
      <c r="AA111" s="1289"/>
      <c r="AB111" s="1290"/>
      <c r="AC111" s="27"/>
      <c r="AD111" s="54" t="s">
        <v>91</v>
      </c>
      <c r="AF111" s="22"/>
      <c r="AG111" s="24"/>
      <c r="AI111" s="1324" t="s">
        <v>92</v>
      </c>
      <c r="AJ111" s="1324"/>
      <c r="AK111" s="1324"/>
      <c r="AL111" s="1324"/>
      <c r="AM111" s="1324"/>
      <c r="AN111" s="1324"/>
      <c r="AO111" s="1324"/>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320"/>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14" t="s">
        <v>98</v>
      </c>
      <c r="AJ113" s="1314"/>
      <c r="AK113" s="1314"/>
      <c r="AL113" s="1314"/>
      <c r="AM113" s="1314"/>
      <c r="AN113" s="1314"/>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14" t="s">
        <v>99</v>
      </c>
      <c r="AJ114" s="1314"/>
      <c r="AK114" s="1314"/>
      <c r="AL114" s="1314"/>
      <c r="AM114" s="1314"/>
      <c r="AN114" s="1314"/>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14" t="s">
        <v>100</v>
      </c>
      <c r="AJ115" s="1314"/>
      <c r="AK115" s="1314"/>
      <c r="AL115" s="1314"/>
      <c r="AM115" s="1314"/>
      <c r="AN115" s="1314"/>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762</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10" t="s">
        <v>101</v>
      </c>
      <c r="AJ120" s="1310"/>
      <c r="AK120" s="1310"/>
      <c r="AL120" s="1310"/>
      <c r="AM120" s="1310"/>
      <c r="AN120" s="1310"/>
      <c r="AO120" s="501">
        <f>AO118-AO119</f>
        <v>258733.91378968526</v>
      </c>
      <c r="AP120" s="27"/>
      <c r="AQ120" s="27"/>
      <c r="AR120" s="27"/>
      <c r="AS120" s="27"/>
      <c r="AT120" s="27"/>
      <c r="AU120" s="27"/>
    </row>
    <row r="121" spans="1:54" ht="25.3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10" t="s">
        <v>763</v>
      </c>
      <c r="AJ122" s="1310"/>
      <c r="AK122" s="1310"/>
      <c r="AL122" s="1310"/>
      <c r="AM122" s="1310"/>
      <c r="AN122" s="1310"/>
      <c r="AO122" s="502">
        <f>AO116+AO120</f>
        <v>296925</v>
      </c>
      <c r="AP122" s="27"/>
      <c r="AQ122" s="27"/>
      <c r="AR122" s="27"/>
      <c r="AS122" s="27"/>
      <c r="AT122" s="27"/>
      <c r="AU122" s="27"/>
    </row>
    <row r="123" spans="1:54" ht="25.3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788</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4" t="s">
        <v>103</v>
      </c>
      <c r="B145" s="1304"/>
      <c r="C145" s="1304"/>
      <c r="D145" s="1304"/>
      <c r="E145" s="96"/>
    </row>
    <row r="146" spans="1:5">
      <c r="A146" s="1303" t="s">
        <v>104</v>
      </c>
      <c r="B146" s="1303"/>
      <c r="C146" s="1303"/>
      <c r="D146" s="1303"/>
    </row>
    <row r="147" spans="1:5">
      <c r="A147" s="1284" t="s">
        <v>105</v>
      </c>
      <c r="B147" s="1284"/>
      <c r="C147" s="1284"/>
      <c r="D147" s="1284"/>
      <c r="E147" s="1284"/>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127" colorId="22" zoomScale="70" zoomScaleNormal="70" zoomScaleSheetLayoutView="51" zoomScalePageLayoutView="60" workbookViewId="0">
      <selection activeCell="C84" sqref="C84"/>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30" t="s">
        <v>11</v>
      </c>
      <c r="B1" s="1130"/>
      <c r="C1" s="1130"/>
      <c r="D1" s="1130"/>
      <c r="E1" s="1130"/>
      <c r="F1" s="1130"/>
      <c r="G1" s="1130"/>
      <c r="H1" s="1008"/>
      <c r="I1" s="1008"/>
    </row>
    <row r="2" spans="1:53" ht="20.100000000000001" customHeight="1">
      <c r="A2" s="1130" t="s">
        <v>740</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37</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2" t="s">
        <v>787</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5.2524076459317365E-2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741</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9780</v>
      </c>
      <c r="E44" s="140">
        <f>+'EXHIBIT C'!F10</f>
        <v>9386.74</v>
      </c>
      <c r="F44" s="141">
        <f t="shared" ref="F44:F50" si="0">IF(D44=0,"0",(E44/D44-1))</f>
        <v>-4.0210633946830332E-2</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53528.124298595249</v>
      </c>
      <c r="E45" s="144">
        <f>+'EXHIBIT C'!F11</f>
        <v>60334.19</v>
      </c>
      <c r="F45" s="823">
        <f t="shared" si="0"/>
        <v>0.12714934047452453</v>
      </c>
      <c r="G45" s="824" t="str">
        <f t="shared" si="1"/>
        <v>YES</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14494.022438844951</v>
      </c>
      <c r="E46" s="827">
        <f>+'EXHIBIT C'!F12</f>
        <v>14853.46</v>
      </c>
      <c r="F46" s="823">
        <f t="shared" si="0"/>
        <v>2.4799020608090805E-2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5327.0503597122297</v>
      </c>
      <c r="E47" s="827">
        <f>+'EXHIBIT C'!F13</f>
        <v>5130.93</v>
      </c>
      <c r="F47" s="823">
        <f t="shared" si="0"/>
        <v>-3.6815938740782594E-2</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1517.2910662824208</v>
      </c>
      <c r="E48" s="827">
        <f>+'EXHIBIT C'!F14</f>
        <v>2166.5700000000002</v>
      </c>
      <c r="F48" s="823">
        <f t="shared" si="0"/>
        <v>0.42791982905982917</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84646.488163434842</v>
      </c>
      <c r="E50" s="147">
        <f>+'EXHIBIT C'!F17</f>
        <v>91871.890000000014</v>
      </c>
      <c r="F50" s="148">
        <f t="shared" si="0"/>
        <v>8.5359735451923546E-2</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t="s">
        <v>798</v>
      </c>
      <c r="D54" s="1026" t="s">
        <v>799</v>
      </c>
      <c r="E54" s="1026" t="s">
        <v>800</v>
      </c>
      <c r="F54" s="1026" t="s">
        <v>801</v>
      </c>
      <c r="G54" s="1027" t="s">
        <v>802</v>
      </c>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t="s">
        <v>803</v>
      </c>
      <c r="D55" s="1026" t="s">
        <v>804</v>
      </c>
      <c r="E55" s="1026" t="s">
        <v>805</v>
      </c>
      <c r="F55" s="1026" t="s">
        <v>806</v>
      </c>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208</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2988.7028365775323</v>
      </c>
      <c r="E69" s="161">
        <f>+'EXHIBIT C'!D20</f>
        <v>2969.95</v>
      </c>
      <c r="F69" s="834">
        <f t="shared" si="2"/>
        <v>-6.2745738211320568E-3</v>
      </c>
      <c r="G69" s="835" t="str">
        <f t="shared" ref="G69:G74" si="3">IF(OR(F69&gt;5%, F69&lt;-5%),"YES","NO")</f>
        <v>NO</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836.13757586904535</v>
      </c>
      <c r="E70" s="837">
        <f>+'EXHIBIT C'!D21</f>
        <v>444.3</v>
      </c>
      <c r="F70" s="834">
        <f t="shared" si="2"/>
        <v>-0.46862811477140742</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132.9496402877698</v>
      </c>
      <c r="E71" s="837">
        <f>+'EXHIBIT C'!D22</f>
        <v>160.96</v>
      </c>
      <c r="F71" s="834">
        <f t="shared" si="2"/>
        <v>0.21068398268398258</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42.708933717579249</v>
      </c>
      <c r="E72" s="837">
        <f>+'EXHIBIT C'!D23</f>
        <v>237.505</v>
      </c>
      <c r="F72" s="834">
        <f t="shared" si="2"/>
        <v>4.561014507422402</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4000.4989864519271</v>
      </c>
      <c r="E74" s="163">
        <f>SUM(E68:E73)</f>
        <v>4020.7150000000001</v>
      </c>
      <c r="F74" s="164">
        <f t="shared" si="2"/>
        <v>5.0533729958528451E-3</v>
      </c>
      <c r="G74" s="165" t="str">
        <f t="shared" si="3"/>
        <v>NO</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4" t="s">
        <v>807</v>
      </c>
      <c r="D79" s="1035" t="s">
        <v>808</v>
      </c>
      <c r="E79" s="1035" t="s">
        <v>809</v>
      </c>
      <c r="F79" s="1035" t="s">
        <v>810</v>
      </c>
      <c r="G79" s="1036" t="s">
        <v>811</v>
      </c>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4" t="s">
        <v>812</v>
      </c>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4"/>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17140914</v>
      </c>
      <c r="E102" s="846">
        <f>+'EXHIBIT D'!G75</f>
        <v>17140914</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210378</v>
      </c>
      <c r="E103" s="846">
        <f>'EXHIBIT D'!G77</f>
        <v>210378</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3384175</v>
      </c>
      <c r="E104" s="846">
        <f>'EXHIBIT D'!G81</f>
        <v>3384175</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20735467</v>
      </c>
      <c r="E106" s="179">
        <f t="shared" ref="E106:F106" si="4">SUM(E102:E104)</f>
        <v>20735467</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746</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2954652</v>
      </c>
      <c r="D119" s="1002" t="s">
        <v>744</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2954652</v>
      </c>
      <c r="D120" s="1005" t="s">
        <v>745</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17336249</v>
      </c>
      <c r="D126" s="37" t="s">
        <v>742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17336249</v>
      </c>
      <c r="D127" s="37" t="s">
        <v>743</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91.790014424603214</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275.37019230769232</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50"/>
      <c r="D141" s="1051"/>
      <c r="E141" s="1051"/>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100000000000001"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1"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100000000000001"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100000000000001"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100000000000001"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100000000000001"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100000000000001"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100000000000001"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100000000000001"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100000000000001"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E40" sqref="E40"/>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3" t="s">
        <v>191</v>
      </c>
      <c r="C1" s="1143"/>
      <c r="D1" s="1143"/>
      <c r="E1" s="1143"/>
      <c r="F1" s="371"/>
      <c r="G1" s="371"/>
    </row>
    <row r="2" spans="2:7" ht="26.25">
      <c r="B2" s="1144" t="s">
        <v>11</v>
      </c>
      <c r="C2" s="1144"/>
      <c r="D2" s="1144"/>
      <c r="E2" s="1144"/>
      <c r="F2" s="1054"/>
      <c r="G2" s="1054"/>
    </row>
    <row r="3" spans="2:7" ht="26.25">
      <c r="B3" s="1144" t="s">
        <v>192</v>
      </c>
      <c r="C3" s="1144"/>
      <c r="D3" s="1144"/>
      <c r="E3" s="1144"/>
      <c r="F3" s="1054"/>
      <c r="G3" s="1054"/>
    </row>
    <row r="4" spans="2:7" ht="26.25">
      <c r="B4" s="1144" t="s">
        <v>193</v>
      </c>
      <c r="C4" s="1144"/>
      <c r="D4" s="1144"/>
      <c r="E4" s="1144"/>
      <c r="F4" s="1054"/>
      <c r="G4" s="1054"/>
    </row>
    <row r="5" spans="2:7" ht="26.25">
      <c r="B5" s="1143" t="s">
        <v>767</v>
      </c>
      <c r="C5" s="1144"/>
      <c r="D5" s="1143"/>
      <c r="E5" s="1143"/>
      <c r="F5" s="1055"/>
      <c r="G5" s="1055"/>
    </row>
    <row r="6" spans="2:7" ht="25.35" customHeight="1">
      <c r="B6" s="1055"/>
      <c r="C6" s="1055"/>
      <c r="D6" s="1055"/>
      <c r="E6" s="1055"/>
      <c r="F6" s="1055"/>
      <c r="G6" s="1055"/>
    </row>
    <row r="7" spans="2:7" ht="25.35" customHeight="1">
      <c r="B7" s="371"/>
      <c r="C7" s="1055"/>
      <c r="D7" s="435"/>
      <c r="E7" s="435"/>
      <c r="F7" s="435"/>
      <c r="G7" s="435"/>
    </row>
    <row r="8" spans="2:7" ht="25.35" customHeight="1">
      <c r="B8" s="437" t="s">
        <v>194</v>
      </c>
      <c r="C8" s="1053" t="str">
        <f>'CHECK SHEET'!D7</f>
        <v>Northwest Florida State College</v>
      </c>
      <c r="D8" s="1053"/>
      <c r="E8" s="1053"/>
      <c r="F8" s="434"/>
      <c r="G8" s="434"/>
    </row>
    <row r="9" spans="2:7" ht="25.35" customHeight="1">
      <c r="D9" s="151"/>
      <c r="E9" s="151"/>
      <c r="F9" s="151"/>
      <c r="G9" s="151"/>
    </row>
    <row r="10" spans="2:7" ht="41.45" customHeight="1">
      <c r="E10" s="722" t="s">
        <v>195</v>
      </c>
    </row>
    <row r="11" spans="2:7" ht="25.35" customHeight="1">
      <c r="B11" s="114" t="s">
        <v>768</v>
      </c>
      <c r="D11" s="114"/>
      <c r="E11" s="202"/>
    </row>
    <row r="12" spans="2:7" ht="25.35" customHeight="1">
      <c r="B12" s="114"/>
      <c r="C12" s="114"/>
      <c r="D12" s="114"/>
    </row>
    <row r="13" spans="2:7" ht="25.35" customHeight="1">
      <c r="B13" s="37" t="s">
        <v>776</v>
      </c>
      <c r="C13" s="114"/>
      <c r="D13" s="114"/>
      <c r="E13" s="585">
        <v>2987000</v>
      </c>
    </row>
    <row r="14" spans="2:7" ht="25.35" customHeight="1">
      <c r="B14" s="37" t="s">
        <v>196</v>
      </c>
      <c r="D14" s="114"/>
      <c r="E14" s="723">
        <f>-'EXHIBIT D'!G272</f>
        <v>17336249</v>
      </c>
    </row>
    <row r="15" spans="2:7" ht="25.35" customHeight="1">
      <c r="B15" s="114"/>
      <c r="C15" s="24"/>
      <c r="D15" s="114"/>
      <c r="E15" s="203"/>
    </row>
    <row r="16" spans="2:7" ht="25.35" customHeight="1">
      <c r="B16" s="24" t="s">
        <v>769</v>
      </c>
      <c r="C16" s="114"/>
      <c r="D16" s="35"/>
      <c r="E16" s="724">
        <f>+E14+E13</f>
        <v>20323249</v>
      </c>
    </row>
    <row r="17" spans="2:7" ht="25.35" customHeight="1">
      <c r="B17" s="114"/>
      <c r="C17" s="35"/>
      <c r="D17" s="114"/>
      <c r="E17" s="204"/>
    </row>
    <row r="18" spans="2:7" ht="25.35" customHeight="1">
      <c r="B18" s="37" t="s">
        <v>197</v>
      </c>
      <c r="C18" s="114"/>
      <c r="D18" s="114"/>
      <c r="E18" s="216">
        <f>+'EXHIBIT D'!G143-SUM(+'EXHIBIT D'!G132+'EXHIBIT D'!G133+'EXHIBIT D'!G134+'EXHIBIT D'!G135)</f>
        <v>35474039</v>
      </c>
      <c r="G18" s="205"/>
    </row>
    <row r="19" spans="2:7" ht="25.35" customHeight="1">
      <c r="B19" s="37" t="s">
        <v>198</v>
      </c>
      <c r="D19" s="114"/>
      <c r="E19" s="724">
        <f>+'EXHIBIT D'!G132+'EXHIBIT D'!G133+'EXHIBIT D'!G134+'EXHIBIT D'!G135</f>
        <v>456000</v>
      </c>
    </row>
    <row r="20" spans="2:7" ht="25.35" customHeight="1">
      <c r="B20" s="114"/>
      <c r="D20" s="114"/>
      <c r="E20" s="211"/>
    </row>
    <row r="21" spans="2:7" ht="25.35" customHeight="1">
      <c r="B21" s="37" t="s">
        <v>199</v>
      </c>
      <c r="C21" s="114"/>
      <c r="D21" s="114"/>
      <c r="E21" s="725">
        <f>+E19+E18</f>
        <v>35930039</v>
      </c>
    </row>
    <row r="22" spans="2:7" ht="25.35" customHeight="1">
      <c r="B22" s="114"/>
      <c r="C22" s="114"/>
      <c r="D22" s="114"/>
      <c r="E22" s="211"/>
    </row>
    <row r="23" spans="2:7" ht="25.35" customHeight="1">
      <c r="B23" s="114" t="s">
        <v>200</v>
      </c>
      <c r="C23" s="114"/>
      <c r="D23" s="114"/>
      <c r="E23" s="725">
        <f>+E21+E16</f>
        <v>56253288</v>
      </c>
    </row>
    <row r="24" spans="2:7" ht="25.35" customHeight="1">
      <c r="B24" s="114"/>
      <c r="C24" s="114"/>
      <c r="D24" s="114"/>
      <c r="E24" s="211"/>
    </row>
    <row r="25" spans="2:7" ht="25.35" customHeight="1">
      <c r="B25" s="37" t="s">
        <v>201</v>
      </c>
      <c r="C25" s="114"/>
      <c r="D25" s="114"/>
      <c r="E25" s="217">
        <f>'EXHIBIT D'!G256-SUM(+'EXHIBIT D'!G229+'EXHIBIT D'!G230+'EXHIBIT D'!G231+'EXHIBIT D'!G232+'EXHIBIT D'!G233)</f>
        <v>34077251</v>
      </c>
    </row>
    <row r="26" spans="2:7" ht="25.35" customHeight="1">
      <c r="B26" s="37" t="s">
        <v>202</v>
      </c>
      <c r="D26" s="114"/>
      <c r="E26" s="724">
        <f>'EXHIBIT D'!G229+'EXHIBIT D'!G230+'EXHIBIT D'!G231+'EXHIBIT D'!G232+'EXHIBIT D'!G233</f>
        <v>1852788</v>
      </c>
    </row>
    <row r="27" spans="2:7" ht="25.35" customHeight="1">
      <c r="B27" s="114"/>
      <c r="D27" s="114"/>
      <c r="E27" s="211"/>
    </row>
    <row r="28" spans="2:7" ht="25.35" customHeight="1">
      <c r="B28" s="114" t="s">
        <v>203</v>
      </c>
      <c r="C28" s="114"/>
      <c r="D28" s="114"/>
      <c r="E28" s="726">
        <f>+E26+E25</f>
        <v>35930039</v>
      </c>
    </row>
    <row r="29" spans="2:7" ht="25.35" customHeight="1">
      <c r="B29" s="114"/>
      <c r="C29" s="114"/>
      <c r="D29" s="114"/>
      <c r="E29" s="206"/>
    </row>
    <row r="30" spans="2:7" ht="25.35" customHeight="1">
      <c r="B30" s="114" t="s">
        <v>770</v>
      </c>
      <c r="C30" s="114"/>
      <c r="D30" s="114"/>
      <c r="E30" s="206"/>
    </row>
    <row r="31" spans="2:7" ht="25.35" customHeight="1">
      <c r="B31" s="114"/>
      <c r="C31" s="114"/>
      <c r="D31" s="114"/>
      <c r="E31" s="206"/>
    </row>
    <row r="32" spans="2:7" ht="25.35" customHeight="1">
      <c r="B32" s="37" t="s">
        <v>204</v>
      </c>
      <c r="C32" s="114"/>
      <c r="D32" s="207">
        <f>+E23-E28</f>
        <v>20323249</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771</v>
      </c>
      <c r="C35" s="114"/>
      <c r="D35" s="114"/>
      <c r="E35" s="209">
        <f>+D32+D33</f>
        <v>20323249</v>
      </c>
      <c r="J35" s="151"/>
    </row>
    <row r="36" spans="2:10" ht="25.35" customHeight="1">
      <c r="B36" s="37" t="s">
        <v>772</v>
      </c>
      <c r="C36" s="114"/>
      <c r="D36" s="114"/>
      <c r="E36" s="725">
        <f>-'EXHIBIT D'!G272</f>
        <v>17336249</v>
      </c>
      <c r="J36" s="210"/>
    </row>
    <row r="37" spans="2:10" ht="25.35" customHeight="1">
      <c r="D37" s="114"/>
      <c r="E37" s="209"/>
      <c r="J37" s="151"/>
    </row>
    <row r="38" spans="2:10" ht="25.35" customHeight="1">
      <c r="B38" s="114" t="s">
        <v>773</v>
      </c>
      <c r="D38" s="114"/>
      <c r="E38" s="724">
        <f>+E35-E36</f>
        <v>2987000</v>
      </c>
      <c r="J38" s="151"/>
    </row>
    <row r="39" spans="2:10" ht="25.35" customHeight="1">
      <c r="B39" s="114"/>
      <c r="C39" s="114"/>
      <c r="D39" s="114"/>
      <c r="E39" s="211"/>
    </row>
    <row r="40" spans="2:10" ht="25.35" customHeight="1">
      <c r="B40" s="24" t="s">
        <v>774</v>
      </c>
      <c r="C40" s="114"/>
      <c r="D40" s="35"/>
      <c r="E40" s="726">
        <f>'EXHIBIT D'!G261+'EXHIBIT D'!G262+'EXHIBIT D'!G263+'EXHIBIT D'!G264+'EXHIBIT D'!G265+'EXHIBIT D'!G266+'EXHIBIT D'!G267+'EXHIBIT D'!G268</f>
        <v>2954652</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775</v>
      </c>
      <c r="C44" s="114"/>
      <c r="D44" s="114"/>
      <c r="E44" s="728">
        <f>+E40/E23</f>
        <v>5.2524076459317365E-2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16" zoomScale="50" zoomScaleNormal="50" zoomScalePageLayoutView="50" workbookViewId="0">
      <selection activeCell="G32" sqref="G32"/>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2" t="s">
        <v>211</v>
      </c>
      <c r="L1" s="1052"/>
      <c r="M1" s="1052"/>
      <c r="N1" s="1052"/>
      <c r="O1" s="1052"/>
      <c r="P1" s="1052"/>
      <c r="Q1" s="1052"/>
      <c r="R1" s="1052"/>
    </row>
    <row r="2" spans="1:18" s="371" customFormat="1" ht="20.100000000000001" customHeight="1"/>
    <row r="3" spans="1:18" s="371" customFormat="1" ht="20.100000000000001" customHeight="1">
      <c r="A3" s="1144" t="s">
        <v>11</v>
      </c>
      <c r="B3" s="1144"/>
      <c r="C3" s="1144"/>
      <c r="D3" s="1144"/>
      <c r="E3" s="1144"/>
      <c r="F3" s="1144"/>
      <c r="G3" s="1144"/>
      <c r="H3" s="1144"/>
      <c r="I3" s="1054"/>
      <c r="J3" s="370"/>
      <c r="K3" s="370"/>
    </row>
    <row r="4" spans="1:18" s="371" customFormat="1" ht="20.100000000000001" customHeight="1">
      <c r="A4" s="1144" t="s">
        <v>192</v>
      </c>
      <c r="B4" s="1144"/>
      <c r="C4" s="1144"/>
      <c r="D4" s="1144"/>
      <c r="E4" s="1144"/>
      <c r="F4" s="1144"/>
      <c r="G4" s="1144"/>
      <c r="H4" s="1144"/>
      <c r="I4" s="1054"/>
    </row>
    <row r="5" spans="1:18" s="371" customFormat="1" ht="24" customHeight="1">
      <c r="A5" s="1144" t="s">
        <v>777</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100000000000001" customHeight="1">
      <c r="A7" s="1143"/>
      <c r="B7" s="1143"/>
      <c r="C7" s="1143"/>
      <c r="D7" s="1143"/>
      <c r="E7" s="1143"/>
      <c r="F7" s="1143"/>
      <c r="G7" s="1143"/>
      <c r="H7" s="1143"/>
      <c r="I7" s="1055"/>
    </row>
    <row r="8" spans="1:18" s="371" customFormat="1" ht="25.35" customHeight="1" thickBot="1">
      <c r="A8" s="1143"/>
      <c r="B8" s="1147"/>
      <c r="C8" s="1143" t="s">
        <v>194</v>
      </c>
      <c r="D8" s="1148" t="str">
        <f>'CHECK SHEET'!D7</f>
        <v>Northwest Florida State College</v>
      </c>
      <c r="E8" s="1148"/>
      <c r="F8" s="1148"/>
      <c r="G8" s="1148"/>
      <c r="H8" s="1148"/>
    </row>
    <row r="9" spans="1:18" s="37" customFormat="1" ht="20.100000000000001" customHeight="1"/>
    <row r="10" spans="1:18" s="37" customFormat="1" ht="20.100000000000001" customHeight="1">
      <c r="B10" s="114"/>
      <c r="C10" s="114"/>
      <c r="D10" s="114"/>
      <c r="E10" s="1145"/>
      <c r="F10" s="1146"/>
      <c r="G10" s="1146"/>
    </row>
    <row r="11" spans="1:18" s="37" customFormat="1" ht="20.100000000000001" customHeight="1">
      <c r="B11" s="1056" t="s">
        <v>213</v>
      </c>
      <c r="C11" s="1056"/>
      <c r="D11" s="1008"/>
      <c r="E11" s="1008"/>
    </row>
    <row r="12" spans="1:18" s="37" customFormat="1" ht="20.100000000000001"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100000000000001" customHeight="1">
      <c r="A14" s="439" t="s">
        <v>222</v>
      </c>
      <c r="B14" s="1215">
        <v>91.79</v>
      </c>
      <c r="C14" s="1215">
        <v>4.59</v>
      </c>
      <c r="D14" s="1215">
        <v>6.88</v>
      </c>
      <c r="E14" s="1215">
        <v>14.74</v>
      </c>
      <c r="F14" s="1215">
        <v>4.59</v>
      </c>
      <c r="G14" s="857">
        <f>SUM(B14:F14)</f>
        <v>122.59</v>
      </c>
      <c r="H14" s="477">
        <f>G14*30</f>
        <v>3677.7000000000003</v>
      </c>
      <c r="I14" s="24"/>
    </row>
    <row r="15" spans="1:18" s="37" customFormat="1" ht="20.100000000000001" customHeight="1">
      <c r="A15" s="114" t="s">
        <v>223</v>
      </c>
      <c r="B15" s="1216">
        <v>82.77</v>
      </c>
      <c r="C15" s="1216">
        <v>3.86</v>
      </c>
      <c r="D15" s="1216">
        <v>0</v>
      </c>
      <c r="E15" s="1216">
        <v>13.52</v>
      </c>
      <c r="F15" s="1216">
        <v>3.86</v>
      </c>
      <c r="G15" s="857">
        <f>SUM(B15:F15)</f>
        <v>104.00999999999999</v>
      </c>
      <c r="H15" s="440">
        <f>G15*30</f>
        <v>3120.2999999999997</v>
      </c>
      <c r="I15" s="24"/>
    </row>
    <row r="16" spans="1:18" s="37" customFormat="1" ht="20.100000000000001" customHeight="1" thickBot="1">
      <c r="A16" s="35" t="s">
        <v>87</v>
      </c>
      <c r="B16" s="1217">
        <v>71.7</v>
      </c>
      <c r="C16" s="1217">
        <v>7.2</v>
      </c>
      <c r="D16" s="1218"/>
      <c r="E16" s="1217">
        <v>3.6</v>
      </c>
      <c r="F16" s="1217">
        <v>3.6</v>
      </c>
      <c r="G16" s="441">
        <f>SUM(B16:F16)</f>
        <v>86.1</v>
      </c>
      <c r="H16" s="858">
        <f>G16*30</f>
        <v>2583</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1" t="s">
        <v>225</v>
      </c>
    </row>
    <row r="19" spans="1:11" s="37" customFormat="1" ht="20.100000000000001" customHeight="1">
      <c r="A19" s="114" t="s">
        <v>226</v>
      </c>
      <c r="B19" s="856">
        <v>30</v>
      </c>
      <c r="C19" s="478"/>
      <c r="D19" s="478"/>
      <c r="E19" s="478"/>
      <c r="F19" s="478"/>
      <c r="G19" s="857">
        <f>B19</f>
        <v>30</v>
      </c>
      <c r="H19" s="765">
        <f>G19*3</f>
        <v>90</v>
      </c>
    </row>
    <row r="20" spans="1:11" s="37" customFormat="1" ht="20.100000000000001" customHeight="1" thickBot="1">
      <c r="A20" s="114" t="s">
        <v>227</v>
      </c>
      <c r="B20" s="750">
        <v>30</v>
      </c>
      <c r="C20" s="479"/>
      <c r="D20" s="479"/>
      <c r="E20" s="479"/>
      <c r="F20" s="479"/>
      <c r="G20" s="444">
        <f>B20</f>
        <v>30</v>
      </c>
      <c r="H20" s="711">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100000000000001" customHeight="1">
      <c r="A29" s="439" t="str">
        <f t="shared" ref="A29:B31" si="0">A14</f>
        <v>UPPER LEVEL - BACCALAUREATE</v>
      </c>
      <c r="B29" s="450">
        <f t="shared" si="0"/>
        <v>91.79</v>
      </c>
      <c r="C29" s="1215">
        <v>275.37</v>
      </c>
      <c r="D29" s="1215">
        <v>18.36</v>
      </c>
      <c r="E29" s="680">
        <f>D14</f>
        <v>6.88</v>
      </c>
      <c r="F29" s="1215">
        <v>40.1</v>
      </c>
      <c r="G29" s="1215">
        <v>18.36</v>
      </c>
      <c r="H29" s="451">
        <f>SUM(B29:G29)</f>
        <v>450.86000000000007</v>
      </c>
      <c r="I29" s="471">
        <f>H29*30</f>
        <v>13525.800000000003</v>
      </c>
      <c r="J29" s="24"/>
    </row>
    <row r="30" spans="1:11" s="37" customFormat="1" ht="20.100000000000001" customHeight="1">
      <c r="A30" s="114" t="str">
        <f t="shared" si="0"/>
        <v>LOWER LEVEL - CREDIT (A &amp; P, PSV, DEVELOPMENTAL EDUCATION AND EPI)</v>
      </c>
      <c r="B30" s="861">
        <f t="shared" si="0"/>
        <v>82.77</v>
      </c>
      <c r="C30" s="1219">
        <v>248.31</v>
      </c>
      <c r="D30" s="1219">
        <v>15.42</v>
      </c>
      <c r="E30" s="862">
        <f>D15</f>
        <v>0</v>
      </c>
      <c r="F30" s="1219">
        <v>36.1</v>
      </c>
      <c r="G30" s="1219">
        <v>15.42</v>
      </c>
      <c r="H30" s="857">
        <f>SUM(B30:G30)</f>
        <v>398.02000000000004</v>
      </c>
      <c r="I30" s="440">
        <f>H30*30</f>
        <v>11940.6</v>
      </c>
    </row>
    <row r="31" spans="1:11" s="37" customFormat="1" ht="20.100000000000001" customHeight="1" thickBot="1">
      <c r="A31" s="114" t="str">
        <f t="shared" si="0"/>
        <v>CAREER CERTIFICATE AND APPLIED TECHNOLOGY DIPLOMA</v>
      </c>
      <c r="B31" s="530">
        <f t="shared" si="0"/>
        <v>71.7</v>
      </c>
      <c r="C31" s="1216">
        <v>215.1</v>
      </c>
      <c r="D31" s="1216">
        <v>28.5</v>
      </c>
      <c r="E31" s="408"/>
      <c r="F31" s="1216">
        <v>14.4</v>
      </c>
      <c r="G31" s="1216">
        <v>14.4</v>
      </c>
      <c r="H31" s="441">
        <f>SUM(B31:G31)</f>
        <v>344.09999999999997</v>
      </c>
      <c r="I31" s="858">
        <f>H31*30</f>
        <v>10322.999999999998</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1" t="s">
        <v>225</v>
      </c>
      <c r="J33" s="24"/>
      <c r="K33" s="24"/>
    </row>
    <row r="34" spans="1:11" s="37" customFormat="1" ht="20.100000000000001" customHeight="1">
      <c r="A34" s="35" t="str">
        <f>A19</f>
        <v>VOCATIONAL PREPARATORY (PER TERM)</v>
      </c>
      <c r="B34" s="455">
        <f>B19</f>
        <v>30</v>
      </c>
      <c r="C34" s="478"/>
      <c r="D34" s="478"/>
      <c r="E34" s="478"/>
      <c r="F34" s="478"/>
      <c r="G34" s="478"/>
      <c r="H34" s="863">
        <f>B34</f>
        <v>30</v>
      </c>
      <c r="I34" s="472">
        <f>H34*3</f>
        <v>90</v>
      </c>
      <c r="J34" s="456"/>
      <c r="K34" s="456"/>
    </row>
    <row r="35" spans="1:11" s="37" customFormat="1" ht="20.100000000000001" customHeight="1" thickBot="1">
      <c r="A35" s="35" t="str">
        <f>A20</f>
        <v>ADULT GENERAL EDUCATION AND SECONDARY (PER TERM)</v>
      </c>
      <c r="B35" s="864">
        <f>B20</f>
        <v>30</v>
      </c>
      <c r="C35" s="479"/>
      <c r="D35" s="479"/>
      <c r="E35" s="479"/>
      <c r="F35" s="479"/>
      <c r="G35" s="479"/>
      <c r="H35" s="457">
        <f>B35</f>
        <v>30</v>
      </c>
      <c r="I35" s="865">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9" t="s">
        <v>778</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4" zoomScale="50" zoomScaleNormal="50" zoomScaleSheetLayoutView="50" zoomScalePageLayoutView="50" workbookViewId="0">
      <selection activeCell="X60" sqref="X60"/>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1" t="s">
        <v>11</v>
      </c>
      <c r="B2" s="1151"/>
      <c r="C2" s="1151"/>
      <c r="D2" s="1151"/>
      <c r="E2" s="1151"/>
      <c r="F2" s="1151"/>
      <c r="G2" s="1151"/>
      <c r="H2" s="1059"/>
      <c r="I2" s="223"/>
    </row>
    <row r="3" spans="1:10" ht="20.100000000000001" customHeight="1">
      <c r="A3" s="1151" t="s">
        <v>779</v>
      </c>
      <c r="B3" s="1151"/>
      <c r="C3" s="1151"/>
      <c r="D3" s="1151"/>
      <c r="E3" s="1151"/>
      <c r="F3" s="1151"/>
      <c r="G3" s="1151"/>
      <c r="H3" s="1059"/>
    </row>
    <row r="4" spans="1:10" ht="20.100000000000001" customHeight="1">
      <c r="A4" s="425"/>
      <c r="B4" s="425"/>
      <c r="C4" s="425"/>
      <c r="D4" s="425"/>
      <c r="E4" s="425"/>
      <c r="F4" s="425"/>
      <c r="G4" s="425"/>
      <c r="H4" s="372"/>
    </row>
    <row r="5" spans="1:10" ht="27.6" customHeight="1" thickBot="1">
      <c r="A5" s="1151" t="s">
        <v>234</v>
      </c>
      <c r="B5" s="1152" t="str">
        <f>'CHECK SHEET'!D7</f>
        <v>Northwest Florida State College</v>
      </c>
      <c r="C5" s="1152"/>
      <c r="D5" s="1152"/>
      <c r="E5" s="1152"/>
      <c r="F5" s="1152"/>
      <c r="G5" s="425"/>
      <c r="H5" s="1150"/>
    </row>
    <row r="6" spans="1:10" ht="20.100000000000001" customHeight="1">
      <c r="A6" s="425"/>
      <c r="B6" s="425"/>
      <c r="C6" s="425"/>
      <c r="D6" s="425"/>
      <c r="E6" s="425"/>
      <c r="F6" s="425"/>
      <c r="G6" s="425"/>
      <c r="H6" s="1150"/>
    </row>
    <row r="7" spans="1:10" ht="20.100000000000001" customHeight="1">
      <c r="A7" s="1056" t="s">
        <v>235</v>
      </c>
      <c r="B7" s="1056"/>
      <c r="C7" s="1056"/>
      <c r="D7" s="1056"/>
      <c r="E7" s="1056"/>
      <c r="F7" s="1056"/>
      <c r="G7" s="1056"/>
      <c r="H7" s="1056"/>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f>9386.74+56</f>
        <v>9442.74</v>
      </c>
      <c r="E10" s="684">
        <v>56</v>
      </c>
      <c r="F10" s="685">
        <f t="shared" ref="F10:F15" si="0">+D10-E10</f>
        <v>9386.74</v>
      </c>
      <c r="G10" s="685">
        <f>'EXHIBIT B'!B14</f>
        <v>91.79</v>
      </c>
      <c r="H10" s="686">
        <f>ROUND(+F10*G10,0)</f>
        <v>861609</v>
      </c>
      <c r="I10" s="151"/>
      <c r="J10" s="151"/>
    </row>
    <row r="11" spans="1:10" ht="20.100000000000001" customHeight="1">
      <c r="A11" s="868" t="s">
        <v>216</v>
      </c>
      <c r="B11" s="868" t="s">
        <v>140</v>
      </c>
      <c r="C11" s="869" t="s">
        <v>244</v>
      </c>
      <c r="D11" s="867">
        <f>60334.19+24601</f>
        <v>84935.19</v>
      </c>
      <c r="E11" s="867">
        <v>24601</v>
      </c>
      <c r="F11" s="870">
        <f t="shared" si="0"/>
        <v>60334.19</v>
      </c>
      <c r="G11" s="870">
        <f>+'EXHIBIT B'!B15</f>
        <v>82.77</v>
      </c>
      <c r="H11" s="871">
        <f t="shared" ref="H11:H15" si="1">ROUND(+F11*G11,0)</f>
        <v>4993861</v>
      </c>
      <c r="I11" s="151"/>
      <c r="J11" s="151"/>
    </row>
    <row r="12" spans="1:10" ht="20.100000000000001" customHeight="1">
      <c r="A12" s="868" t="s">
        <v>216</v>
      </c>
      <c r="B12" s="868" t="s">
        <v>141</v>
      </c>
      <c r="C12" s="869" t="s">
        <v>245</v>
      </c>
      <c r="D12" s="867">
        <f>14853.46+876</f>
        <v>15729.46</v>
      </c>
      <c r="E12" s="867">
        <v>876</v>
      </c>
      <c r="F12" s="870">
        <f t="shared" si="0"/>
        <v>14853.46</v>
      </c>
      <c r="G12" s="870">
        <f>+'EXHIBIT B'!B15</f>
        <v>82.77</v>
      </c>
      <c r="H12" s="871">
        <f t="shared" si="1"/>
        <v>1229421</v>
      </c>
      <c r="I12" s="151"/>
      <c r="J12" s="151"/>
    </row>
    <row r="13" spans="1:10" ht="20.100000000000001" customHeight="1">
      <c r="A13" s="868" t="s">
        <v>216</v>
      </c>
      <c r="B13" s="868" t="s">
        <v>87</v>
      </c>
      <c r="C13" s="869" t="s">
        <v>246</v>
      </c>
      <c r="D13" s="872">
        <f>5130.93+64</f>
        <v>5194.93</v>
      </c>
      <c r="E13" s="872">
        <v>64</v>
      </c>
      <c r="F13" s="870">
        <f t="shared" si="0"/>
        <v>5130.93</v>
      </c>
      <c r="G13" s="870">
        <f>+'EXHIBIT B'!B16</f>
        <v>71.7</v>
      </c>
      <c r="H13" s="871">
        <f t="shared" si="1"/>
        <v>367888</v>
      </c>
      <c r="I13" s="151"/>
      <c r="J13" s="151"/>
    </row>
    <row r="14" spans="1:10" ht="20.100000000000001" customHeight="1">
      <c r="A14" s="868" t="s">
        <v>216</v>
      </c>
      <c r="B14" s="868" t="s">
        <v>142</v>
      </c>
      <c r="C14" s="869" t="s">
        <v>247</v>
      </c>
      <c r="D14" s="867">
        <f>2166.57+144</f>
        <v>2310.5700000000002</v>
      </c>
      <c r="E14" s="867">
        <v>144</v>
      </c>
      <c r="F14" s="870">
        <f t="shared" si="0"/>
        <v>2166.5700000000002</v>
      </c>
      <c r="G14" s="870">
        <f>+'EXHIBIT B'!B15</f>
        <v>82.77</v>
      </c>
      <c r="H14" s="871">
        <f t="shared" si="1"/>
        <v>179327</v>
      </c>
      <c r="I14" s="151"/>
      <c r="J14" s="151"/>
    </row>
    <row r="15" spans="1:10" ht="20.100000000000001" customHeight="1" thickBot="1">
      <c r="A15" s="873" t="s">
        <v>216</v>
      </c>
      <c r="B15" s="873" t="s">
        <v>143</v>
      </c>
      <c r="C15" s="874">
        <v>40160</v>
      </c>
      <c r="D15" s="875">
        <v>0</v>
      </c>
      <c r="E15" s="875">
        <v>0</v>
      </c>
      <c r="F15" s="876">
        <f t="shared" si="0"/>
        <v>0</v>
      </c>
      <c r="G15" s="876">
        <f>+'EXHIBIT B'!B15</f>
        <v>82.77</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117612.89000000001</v>
      </c>
      <c r="E17" s="389">
        <f>SUM(E10:E15)</f>
        <v>25741</v>
      </c>
      <c r="F17" s="390">
        <f>SUM(F10:F15)</f>
        <v>91871.890000000014</v>
      </c>
      <c r="G17" s="390"/>
      <c r="H17" s="391">
        <f>SUM(H10:H15)</f>
        <v>7632106</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20">
        <v>208</v>
      </c>
      <c r="E19" s="880">
        <f>'EXHIBIT B'!C29</f>
        <v>275.37</v>
      </c>
      <c r="F19" s="881">
        <f t="shared" ref="F19:F24" si="2">ROUND(+D19*E19,0)</f>
        <v>57277</v>
      </c>
      <c r="G19" s="393"/>
      <c r="H19" s="393"/>
    </row>
    <row r="20" spans="1:10" ht="20.100000000000001" customHeight="1">
      <c r="A20" s="882" t="s">
        <v>231</v>
      </c>
      <c r="B20" s="882" t="s">
        <v>140</v>
      </c>
      <c r="C20" s="883" t="s">
        <v>251</v>
      </c>
      <c r="D20" s="890">
        <v>2969.95</v>
      </c>
      <c r="E20" s="884">
        <f>+'EXHIBIT B'!C30</f>
        <v>248.31</v>
      </c>
      <c r="F20" s="885">
        <f t="shared" si="2"/>
        <v>737468</v>
      </c>
      <c r="G20" s="394"/>
      <c r="H20" s="394"/>
    </row>
    <row r="21" spans="1:10" ht="20.100000000000001" customHeight="1">
      <c r="A21" s="882" t="s">
        <v>231</v>
      </c>
      <c r="B21" s="882" t="s">
        <v>141</v>
      </c>
      <c r="C21" s="883" t="s">
        <v>252</v>
      </c>
      <c r="D21" s="890">
        <v>444.3</v>
      </c>
      <c r="E21" s="884">
        <f>+'EXHIBIT B'!C30</f>
        <v>248.31</v>
      </c>
      <c r="F21" s="885">
        <f t="shared" si="2"/>
        <v>110324</v>
      </c>
      <c r="G21" s="394"/>
      <c r="H21" s="394"/>
    </row>
    <row r="22" spans="1:10" ht="20.100000000000001" customHeight="1">
      <c r="A22" s="882" t="s">
        <v>231</v>
      </c>
      <c r="B22" s="882" t="s">
        <v>87</v>
      </c>
      <c r="C22" s="883" t="s">
        <v>253</v>
      </c>
      <c r="D22" s="890">
        <v>160.96</v>
      </c>
      <c r="E22" s="884">
        <f>+'EXHIBIT B'!C31</f>
        <v>215.1</v>
      </c>
      <c r="F22" s="885">
        <f t="shared" si="2"/>
        <v>34622</v>
      </c>
      <c r="G22" s="394"/>
      <c r="H22" s="394"/>
    </row>
    <row r="23" spans="1:10" ht="20.100000000000001" customHeight="1">
      <c r="A23" s="882" t="s">
        <v>231</v>
      </c>
      <c r="B23" s="882" t="s">
        <v>142</v>
      </c>
      <c r="C23" s="883" t="s">
        <v>254</v>
      </c>
      <c r="D23" s="890">
        <v>237.505</v>
      </c>
      <c r="E23" s="884">
        <f>+'EXHIBIT B'!C30</f>
        <v>248.31</v>
      </c>
      <c r="F23" s="885">
        <f t="shared" si="2"/>
        <v>58975</v>
      </c>
      <c r="G23" s="394"/>
      <c r="H23" s="394"/>
    </row>
    <row r="24" spans="1:10" ht="20.100000000000001" customHeight="1" thickBot="1">
      <c r="A24" s="751" t="s">
        <v>231</v>
      </c>
      <c r="B24" s="751" t="s">
        <v>143</v>
      </c>
      <c r="C24" s="752">
        <v>40360</v>
      </c>
      <c r="D24" s="1221">
        <v>0</v>
      </c>
      <c r="E24" s="753">
        <f>+'EXHIBIT B'!C30</f>
        <v>248.31</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4020.7150000000001</v>
      </c>
      <c r="E26" s="888"/>
      <c r="F26" s="889">
        <f>SUM(F19:F24)</f>
        <v>998666</v>
      </c>
      <c r="G26" s="398"/>
      <c r="H26" s="398"/>
    </row>
    <row r="27" spans="1:10" ht="20.100000000000001" customHeight="1" thickBot="1">
      <c r="A27" s="399" t="s">
        <v>255</v>
      </c>
      <c r="B27" s="399"/>
      <c r="C27" s="399"/>
      <c r="D27" s="399"/>
      <c r="E27" s="399"/>
      <c r="F27" s="400"/>
      <c r="G27" s="687"/>
      <c r="H27" s="401">
        <f>H17+F26</f>
        <v>8630772</v>
      </c>
    </row>
    <row r="28" spans="1:10" ht="24.95" customHeight="1">
      <c r="I28" s="213"/>
    </row>
    <row r="29" spans="1:10" ht="24.95" customHeight="1">
      <c r="A29" s="1056" t="s">
        <v>256</v>
      </c>
      <c r="B29" s="1056"/>
      <c r="C29" s="1056"/>
      <c r="D29" s="1056"/>
      <c r="E29" s="1056"/>
      <c r="F29" s="1056"/>
      <c r="G29" s="1056"/>
      <c r="H29" s="1056"/>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1" t="s">
        <v>242</v>
      </c>
      <c r="I31" s="213"/>
    </row>
    <row r="32" spans="1:10" ht="20.100000000000001" customHeight="1">
      <c r="A32" s="688" t="s">
        <v>261</v>
      </c>
      <c r="B32" s="688" t="s">
        <v>262</v>
      </c>
      <c r="C32" s="689" t="s">
        <v>263</v>
      </c>
      <c r="D32" s="690">
        <v>0</v>
      </c>
      <c r="E32" s="690">
        <v>0</v>
      </c>
      <c r="F32" s="691">
        <f>D32-E32</f>
        <v>0</v>
      </c>
      <c r="G32" s="691">
        <f>'EXHIBIT B'!B19</f>
        <v>30</v>
      </c>
      <c r="H32" s="692">
        <f>ROUND(+F32*G32,0)</f>
        <v>0</v>
      </c>
    </row>
    <row r="33" spans="1:12" ht="20.100000000000001" customHeight="1">
      <c r="A33" s="882" t="s">
        <v>261</v>
      </c>
      <c r="B33" s="882" t="s">
        <v>264</v>
      </c>
      <c r="C33" s="883" t="s">
        <v>265</v>
      </c>
      <c r="D33" s="890">
        <v>333.33</v>
      </c>
      <c r="E33" s="890">
        <v>0</v>
      </c>
      <c r="F33" s="884">
        <f>D33-E33</f>
        <v>333.33</v>
      </c>
      <c r="G33" s="884">
        <f>'EXHIBIT B'!B20</f>
        <v>30</v>
      </c>
      <c r="H33" s="885">
        <f>ROUND(+F33*G33,0)</f>
        <v>10000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333.33</v>
      </c>
      <c r="E36" s="404">
        <f>SUM(E32:E35)</f>
        <v>0</v>
      </c>
      <c r="F36" s="405">
        <f>D36-E36</f>
        <v>333.33</v>
      </c>
      <c r="G36" s="405"/>
      <c r="H36" s="406">
        <f>SUM(H32:H35)</f>
        <v>10000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30</v>
      </c>
      <c r="F39" s="692">
        <f>D39*E39</f>
        <v>0</v>
      </c>
      <c r="G39" s="151"/>
      <c r="H39" s="151"/>
    </row>
    <row r="40" spans="1:12" ht="20.100000000000001" customHeight="1">
      <c r="A40" s="882" t="s">
        <v>261</v>
      </c>
      <c r="B40" s="882" t="s">
        <v>264</v>
      </c>
      <c r="C40" s="883">
        <v>40390</v>
      </c>
      <c r="D40" s="890">
        <v>0</v>
      </c>
      <c r="E40" s="884">
        <f>'EXHIBIT B'!B35</f>
        <v>30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10000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8640772</v>
      </c>
      <c r="K46" s="19"/>
      <c r="L46" s="19"/>
    </row>
    <row r="47" spans="1:12" ht="24.75" customHeight="1">
      <c r="A47" s="1062"/>
      <c r="B47" s="1062"/>
      <c r="C47" s="1062"/>
      <c r="D47" s="1062"/>
      <c r="E47" s="1062"/>
      <c r="F47" s="1062"/>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3" t="s">
        <v>274</v>
      </c>
      <c r="B50" s="1153"/>
      <c r="C50" s="20"/>
      <c r="D50" s="20"/>
      <c r="E50" s="20"/>
      <c r="F50" s="20"/>
      <c r="G50" s="20"/>
      <c r="H50" s="20"/>
    </row>
    <row r="51" spans="1:10" ht="44.45" customHeight="1" thickBot="1">
      <c r="A51" s="373" t="s">
        <v>275</v>
      </c>
      <c r="B51" s="373" t="s">
        <v>276</v>
      </c>
      <c r="C51" s="1154" t="s">
        <v>277</v>
      </c>
      <c r="D51" s="1155"/>
      <c r="E51" s="1154" t="s">
        <v>278</v>
      </c>
      <c r="F51" s="1155"/>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790</v>
      </c>
      <c r="B54" s="1222">
        <v>1779219</v>
      </c>
      <c r="C54" s="1224" t="s">
        <v>793</v>
      </c>
      <c r="D54" s="1225"/>
      <c r="E54" s="1224" t="s">
        <v>794</v>
      </c>
      <c r="F54" s="1225"/>
    </row>
    <row r="55" spans="1:10" ht="24.95" customHeight="1">
      <c r="A55" s="897" t="s">
        <v>791</v>
      </c>
      <c r="B55" s="890">
        <v>43569</v>
      </c>
      <c r="C55" s="1226" t="s">
        <v>793</v>
      </c>
      <c r="D55" s="1227"/>
      <c r="E55" s="1226" t="s">
        <v>794</v>
      </c>
      <c r="F55" s="1227"/>
      <c r="J55" s="111"/>
    </row>
    <row r="56" spans="1:10" ht="24.95" customHeight="1">
      <c r="A56" s="897" t="s">
        <v>792</v>
      </c>
      <c r="B56" s="890">
        <v>30000</v>
      </c>
      <c r="C56" s="1226" t="s">
        <v>793</v>
      </c>
      <c r="D56" s="1227"/>
      <c r="E56" s="1226" t="s">
        <v>794</v>
      </c>
      <c r="F56" s="1227"/>
      <c r="I56" s="151"/>
    </row>
    <row r="57" spans="1:10" ht="24.95" customHeight="1">
      <c r="A57" s="897"/>
      <c r="B57" s="890">
        <v>0</v>
      </c>
      <c r="C57" s="1226"/>
      <c r="D57" s="1227"/>
      <c r="E57" s="1226"/>
      <c r="F57" s="1227"/>
      <c r="I57" s="151"/>
    </row>
    <row r="58" spans="1:10" ht="24.95" customHeight="1">
      <c r="A58" s="897"/>
      <c r="B58" s="890">
        <v>0</v>
      </c>
      <c r="C58" s="1226"/>
      <c r="D58" s="1227"/>
      <c r="E58" s="1226"/>
      <c r="F58" s="1227"/>
      <c r="I58" s="151"/>
    </row>
    <row r="59" spans="1:10" ht="24.95" customHeight="1" thickBot="1">
      <c r="A59" s="755"/>
      <c r="B59" s="756">
        <v>0</v>
      </c>
      <c r="C59" s="1228"/>
      <c r="D59" s="1229"/>
      <c r="E59" s="1230"/>
      <c r="F59" s="1231"/>
      <c r="I59" s="151"/>
      <c r="J59" s="113"/>
    </row>
    <row r="60" spans="1:10" ht="24.95" customHeight="1" thickBot="1">
      <c r="A60" s="377" t="s">
        <v>279</v>
      </c>
      <c r="B60" s="378">
        <f>SUM(B54:B59)</f>
        <v>1852788</v>
      </c>
      <c r="C60" s="1232"/>
      <c r="D60" s="1233"/>
      <c r="E60" s="1232"/>
      <c r="F60" s="1233"/>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795</v>
      </c>
      <c r="B63" s="1223">
        <v>325000</v>
      </c>
      <c r="C63" s="1224" t="s">
        <v>813</v>
      </c>
      <c r="D63" s="1225"/>
      <c r="E63" s="1224" t="s">
        <v>793</v>
      </c>
      <c r="F63" s="1225"/>
      <c r="I63" s="151"/>
    </row>
    <row r="64" spans="1:10" ht="24.95" customHeight="1">
      <c r="A64" s="897" t="s">
        <v>796</v>
      </c>
      <c r="B64" s="890">
        <v>100000</v>
      </c>
      <c r="C64" s="1226" t="s">
        <v>813</v>
      </c>
      <c r="D64" s="1227"/>
      <c r="E64" s="1226" t="s">
        <v>793</v>
      </c>
      <c r="F64" s="1227"/>
      <c r="I64" s="151"/>
    </row>
    <row r="65" spans="1:9" ht="24.95" customHeight="1">
      <c r="A65" s="897" t="s">
        <v>797</v>
      </c>
      <c r="B65" s="890">
        <v>31000</v>
      </c>
      <c r="C65" s="1226" t="s">
        <v>814</v>
      </c>
      <c r="D65" s="1227"/>
      <c r="E65" s="1226" t="s">
        <v>793</v>
      </c>
      <c r="F65" s="1227"/>
      <c r="I65" s="151"/>
    </row>
    <row r="66" spans="1:9" ht="24.95" customHeight="1">
      <c r="A66" s="897"/>
      <c r="B66" s="890">
        <v>0</v>
      </c>
      <c r="C66" s="1226"/>
      <c r="D66" s="1227"/>
      <c r="E66" s="1226"/>
      <c r="F66" s="1227"/>
      <c r="I66" s="151"/>
    </row>
    <row r="67" spans="1:9" ht="24.95" customHeight="1">
      <c r="A67" s="897"/>
      <c r="B67" s="890">
        <v>0</v>
      </c>
      <c r="C67" s="1226"/>
      <c r="D67" s="1227"/>
      <c r="E67" s="1226"/>
      <c r="F67" s="1227"/>
    </row>
    <row r="68" spans="1:9" ht="24.95" customHeight="1" thickBot="1">
      <c r="A68" s="755"/>
      <c r="B68" s="756">
        <v>0</v>
      </c>
      <c r="C68" s="1230"/>
      <c r="D68" s="1231"/>
      <c r="E68" s="1230"/>
      <c r="F68" s="1231"/>
    </row>
    <row r="69" spans="1:9" ht="24.95" customHeight="1" thickBot="1">
      <c r="A69" s="377" t="s">
        <v>280</v>
      </c>
      <c r="B69" s="378">
        <f>SUM(B63:B68)</f>
        <v>456000</v>
      </c>
      <c r="C69" s="1234"/>
      <c r="D69" s="1235"/>
      <c r="E69" s="1234"/>
      <c r="F69" s="1235"/>
    </row>
    <row r="70" spans="1:9" ht="24.95" customHeight="1" thickBot="1">
      <c r="A70" s="377" t="s">
        <v>281</v>
      </c>
      <c r="B70" s="378">
        <f>+B69+B60</f>
        <v>2308788</v>
      </c>
      <c r="C70" s="1234"/>
      <c r="D70" s="1235"/>
      <c r="E70" s="1236"/>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45" customHeight="1">
      <c r="A4" s="1144" t="s">
        <v>283</v>
      </c>
      <c r="B4" s="1144"/>
      <c r="C4" s="1144"/>
      <c r="D4" s="1144"/>
      <c r="E4" s="1144"/>
      <c r="F4" s="371"/>
    </row>
    <row r="5" spans="1:47" s="37" customFormat="1" ht="23.1" customHeight="1">
      <c r="A5" s="1143"/>
      <c r="B5" s="1143"/>
      <c r="C5" s="1143"/>
      <c r="D5" s="1143"/>
      <c r="E5" s="1143"/>
      <c r="F5" s="371"/>
    </row>
    <row r="6" spans="1:47" s="37" customFormat="1" ht="24.95" customHeight="1">
      <c r="A6" s="1147"/>
      <c r="B6" s="1147"/>
      <c r="C6" s="1147"/>
      <c r="D6" s="1147"/>
      <c r="E6" s="1147"/>
      <c r="F6" s="371"/>
    </row>
    <row r="7" spans="1:47" s="37" customFormat="1" ht="24.95" customHeight="1" thickBot="1">
      <c r="A7" s="1143" t="s">
        <v>234</v>
      </c>
      <c r="B7" s="1148" t="str">
        <f>'CHECK SHEET'!D7</f>
        <v>Northwest Florida State College</v>
      </c>
      <c r="C7" s="1148"/>
      <c r="D7" s="1148"/>
      <c r="E7" s="1148"/>
      <c r="F7" s="1058"/>
    </row>
    <row r="8" spans="1:47" s="37" customFormat="1" ht="24.95" customHeight="1">
      <c r="A8" s="1156"/>
      <c r="B8" s="1156"/>
      <c r="C8" s="1156"/>
      <c r="D8" s="1156"/>
      <c r="E8" s="1156"/>
    </row>
    <row r="9" spans="1:47" s="37" customFormat="1" ht="24.95" customHeight="1">
      <c r="A9" s="1157"/>
      <c r="B9" s="1158"/>
      <c r="C9" s="1158"/>
      <c r="D9" s="1158"/>
      <c r="E9" s="1158"/>
    </row>
    <row r="10" spans="1:47" s="37" customFormat="1" ht="42.6" customHeight="1">
      <c r="A10" s="1159" t="s">
        <v>284</v>
      </c>
      <c r="B10" s="1159"/>
      <c r="C10" s="1159"/>
      <c r="D10" s="1159"/>
      <c r="E10" s="1159"/>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8"/>
      <c r="E19" s="1239"/>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3"/>
      <c r="B33" s="1064"/>
      <c r="C33" s="1064"/>
      <c r="D33" s="1064"/>
      <c r="E33" s="1065"/>
      <c r="AI33" s="221"/>
    </row>
    <row r="34" spans="1:46" ht="24.95" customHeight="1">
      <c r="A34" s="1066"/>
      <c r="B34" s="1067"/>
      <c r="C34" s="1067"/>
      <c r="D34" s="1067"/>
      <c r="E34" s="1068"/>
      <c r="AI34" s="221"/>
    </row>
    <row r="35" spans="1:46" s="548" customFormat="1" ht="24.9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6"/>
      <c r="B36" s="1067"/>
      <c r="C36" s="1067"/>
      <c r="D36" s="1067"/>
      <c r="E36" s="1068"/>
      <c r="AI36" s="221"/>
    </row>
    <row r="37" spans="1:46" ht="24.9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236" zoomScale="70" zoomScaleNormal="70" zoomScaleSheetLayoutView="70" zoomScalePageLayoutView="70" workbookViewId="0">
      <selection activeCell="J245" sqref="J245"/>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60"/>
      <c r="B1" s="1160"/>
      <c r="C1" s="1160"/>
      <c r="D1" s="1160"/>
      <c r="E1" s="1160"/>
      <c r="F1" s="1160"/>
      <c r="G1" s="1161"/>
    </row>
    <row r="2" spans="1:8" ht="30" customHeight="1" thickBot="1">
      <c r="A2" s="1161" t="s">
        <v>194</v>
      </c>
      <c r="B2" s="1148" t="str">
        <f>'CHECK SHEET'!D7</f>
        <v>Northwest Florida State College</v>
      </c>
      <c r="C2" s="1148"/>
      <c r="D2" s="1148"/>
      <c r="E2" s="1148"/>
      <c r="F2" s="1148"/>
      <c r="G2" s="1162"/>
    </row>
    <row r="3" spans="1:8" ht="23.1" customHeight="1">
      <c r="A3" s="1144" t="s">
        <v>292</v>
      </c>
      <c r="B3" s="1144"/>
      <c r="C3" s="1144"/>
      <c r="D3" s="1144"/>
      <c r="E3" s="1144"/>
      <c r="F3" s="1144"/>
      <c r="G3" s="1144"/>
    </row>
    <row r="4" spans="1:8" ht="23.45" customHeight="1">
      <c r="A4" s="1144" t="s">
        <v>293</v>
      </c>
      <c r="B4" s="1144"/>
      <c r="C4" s="1144"/>
      <c r="D4" s="1144"/>
      <c r="E4" s="1144"/>
      <c r="F4" s="1144"/>
      <c r="G4" s="1144"/>
    </row>
    <row r="5" spans="1:8" ht="23.45" customHeight="1">
      <c r="A5" s="1144" t="s">
        <v>780</v>
      </c>
      <c r="B5" s="1144"/>
      <c r="C5" s="1144"/>
      <c r="D5" s="1144"/>
      <c r="E5" s="1144"/>
      <c r="F5" s="1144"/>
      <c r="G5" s="1144"/>
    </row>
    <row r="6" spans="1:8" ht="20.100000000000001" customHeight="1">
      <c r="A6" s="1163"/>
      <c r="B6" s="1163"/>
      <c r="C6" s="1163"/>
      <c r="D6" s="1163"/>
      <c r="E6" s="1163"/>
      <c r="F6" s="1163"/>
      <c r="G6" s="1163"/>
    </row>
    <row r="7" spans="1:8" ht="38.450000000000003" customHeight="1">
      <c r="A7" s="1164" t="s">
        <v>294</v>
      </c>
      <c r="B7" s="1164"/>
      <c r="C7" s="1164"/>
      <c r="D7" s="1164"/>
      <c r="E7" s="1164"/>
      <c r="F7" s="1164"/>
      <c r="G7" s="1164"/>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861609</v>
      </c>
      <c r="H12" s="222"/>
    </row>
    <row r="13" spans="1:8" ht="20.100000000000001" customHeight="1">
      <c r="A13" s="629" t="s">
        <v>216</v>
      </c>
      <c r="B13" s="229"/>
      <c r="C13" s="222" t="s">
        <v>140</v>
      </c>
      <c r="D13" s="229"/>
      <c r="E13" s="229"/>
      <c r="F13" s="235" t="s">
        <v>244</v>
      </c>
      <c r="G13" s="234">
        <f>+'EXHIBIT C'!H11+'EXHIBIT C(2)'!E14</f>
        <v>4993861</v>
      </c>
      <c r="H13" s="222"/>
    </row>
    <row r="14" spans="1:8" ht="20.100000000000001" customHeight="1">
      <c r="A14" s="629" t="s">
        <v>216</v>
      </c>
      <c r="B14" s="229"/>
      <c r="C14" s="229" t="s">
        <v>141</v>
      </c>
      <c r="D14" s="229"/>
      <c r="E14" s="229"/>
      <c r="F14" s="235" t="s">
        <v>245</v>
      </c>
      <c r="G14" s="653">
        <f>+'EXHIBIT C'!H12+'EXHIBIT C(2)'!E15</f>
        <v>1229421</v>
      </c>
      <c r="H14" s="222"/>
    </row>
    <row r="15" spans="1:8" ht="20.100000000000001" customHeight="1">
      <c r="A15" s="629" t="s">
        <v>216</v>
      </c>
      <c r="B15" s="229"/>
      <c r="C15" s="236" t="s">
        <v>298</v>
      </c>
      <c r="D15" s="229"/>
      <c r="E15" s="229"/>
      <c r="F15" s="235" t="s">
        <v>246</v>
      </c>
      <c r="G15" s="653">
        <f>+'EXHIBIT C'!H13+'EXHIBIT C(2)'!E16</f>
        <v>367888</v>
      </c>
      <c r="H15" s="222"/>
    </row>
    <row r="16" spans="1:8" ht="20.100000000000001" customHeight="1">
      <c r="A16" s="629" t="s">
        <v>216</v>
      </c>
      <c r="B16" s="229"/>
      <c r="C16" s="236" t="s">
        <v>299</v>
      </c>
      <c r="D16" s="229"/>
      <c r="E16" s="229"/>
      <c r="F16" s="235" t="s">
        <v>247</v>
      </c>
      <c r="G16" s="654">
        <f>+'EXHIBIT C'!H14+'EXHIBIT C(2)'!E17</f>
        <v>179327</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7632106</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57277</v>
      </c>
      <c r="H21" s="666"/>
    </row>
    <row r="22" spans="1:8" ht="20.100000000000001" customHeight="1">
      <c r="A22" s="630" t="s">
        <v>231</v>
      </c>
      <c r="B22" s="229"/>
      <c r="C22" s="222" t="s">
        <v>140</v>
      </c>
      <c r="D22" s="229"/>
      <c r="E22" s="229"/>
      <c r="F22" s="235" t="s">
        <v>251</v>
      </c>
      <c r="G22" s="240">
        <f>+'EXHIBIT C'!F20+'EXHIBIT C(2)'!E23</f>
        <v>737468</v>
      </c>
      <c r="H22" s="222"/>
    </row>
    <row r="23" spans="1:8" ht="20.100000000000001" customHeight="1">
      <c r="A23" s="630" t="s">
        <v>231</v>
      </c>
      <c r="B23" s="229"/>
      <c r="C23" s="229" t="s">
        <v>141</v>
      </c>
      <c r="D23" s="229"/>
      <c r="E23" s="229"/>
      <c r="F23" s="235" t="s">
        <v>252</v>
      </c>
      <c r="G23" s="245">
        <f>+'EXHIBIT C'!F21+'EXHIBIT C(2)'!E24</f>
        <v>110324</v>
      </c>
      <c r="H23" s="222"/>
    </row>
    <row r="24" spans="1:8" ht="20.100000000000001" customHeight="1">
      <c r="A24" s="630" t="s">
        <v>231</v>
      </c>
      <c r="B24" s="229"/>
      <c r="C24" s="236" t="s">
        <v>298</v>
      </c>
      <c r="D24" s="229"/>
      <c r="E24" s="229"/>
      <c r="F24" s="235" t="s">
        <v>253</v>
      </c>
      <c r="G24" s="245">
        <f>+'EXHIBIT C'!F22+'EXHIBIT C(2)'!E25</f>
        <v>34622</v>
      </c>
      <c r="H24" s="222"/>
    </row>
    <row r="25" spans="1:8" ht="20.100000000000001" customHeight="1">
      <c r="A25" s="630" t="s">
        <v>231</v>
      </c>
      <c r="B25" s="229"/>
      <c r="C25" s="236" t="s">
        <v>299</v>
      </c>
      <c r="D25" s="229"/>
      <c r="E25" s="229"/>
      <c r="F25" s="235" t="s">
        <v>254</v>
      </c>
      <c r="G25" s="245">
        <f>+'EXHIBIT C'!F23+'EXHIBIT C(2)'!E26</f>
        <v>58975</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998666</v>
      </c>
      <c r="H28" s="222"/>
    </row>
    <row r="29" spans="1:8" ht="20.100000000000001" customHeight="1">
      <c r="A29" s="629"/>
      <c r="B29" s="229"/>
      <c r="C29" s="229"/>
      <c r="D29" s="229"/>
      <c r="E29" s="229"/>
      <c r="F29" s="235"/>
      <c r="G29" s="242"/>
      <c r="H29" s="222"/>
    </row>
    <row r="30" spans="1:8" ht="20.100000000000001" customHeight="1">
      <c r="A30" s="629" t="s">
        <v>302</v>
      </c>
      <c r="B30" s="229"/>
      <c r="C30" s="1073" t="s">
        <v>262</v>
      </c>
      <c r="D30" s="1073"/>
      <c r="E30" s="1073"/>
      <c r="F30" s="235" t="s">
        <v>263</v>
      </c>
      <c r="G30" s="243">
        <f>'EXHIBIT C'!H32</f>
        <v>0</v>
      </c>
      <c r="H30" s="222"/>
    </row>
    <row r="31" spans="1:8" ht="20.100000000000001" customHeight="1">
      <c r="A31" s="629" t="s">
        <v>302</v>
      </c>
      <c r="B31" s="229"/>
      <c r="C31" s="222" t="s">
        <v>264</v>
      </c>
      <c r="D31" s="229"/>
      <c r="E31" s="229"/>
      <c r="F31" s="235" t="s">
        <v>265</v>
      </c>
      <c r="G31" s="243">
        <f>'EXHIBIT C'!H33</f>
        <v>10000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10000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4" t="s">
        <v>264</v>
      </c>
      <c r="D38" s="1074"/>
      <c r="E38" s="1074"/>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4" t="s">
        <v>264</v>
      </c>
      <c r="D40" s="1074"/>
      <c r="E40" s="1074"/>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8640772</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0</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f>9000+9000+1500+3500</f>
        <v>23000</v>
      </c>
      <c r="H49" s="222"/>
    </row>
    <row r="50" spans="1:8" ht="20.100000000000001" customHeight="1">
      <c r="A50" s="629" t="s">
        <v>317</v>
      </c>
      <c r="B50" s="229"/>
      <c r="C50" s="229"/>
      <c r="D50" s="229"/>
      <c r="E50" s="229"/>
      <c r="F50" s="248" t="s">
        <v>318</v>
      </c>
      <c r="G50" s="572">
        <f>1087080-300280</f>
        <v>786800</v>
      </c>
      <c r="H50" s="222"/>
    </row>
    <row r="51" spans="1:8" ht="20.100000000000001" customHeight="1">
      <c r="A51" s="629" t="s">
        <v>319</v>
      </c>
      <c r="B51" s="229"/>
      <c r="C51" s="229"/>
      <c r="D51" s="229"/>
      <c r="E51" s="229"/>
      <c r="F51" s="233">
        <v>40450</v>
      </c>
      <c r="G51" s="572">
        <v>750000</v>
      </c>
      <c r="H51" s="222"/>
    </row>
    <row r="52" spans="1:8" ht="20.100000000000001" customHeight="1">
      <c r="A52" s="629" t="s">
        <v>320</v>
      </c>
      <c r="B52" s="229"/>
      <c r="C52" s="229"/>
      <c r="D52" s="229"/>
      <c r="E52" s="229"/>
      <c r="F52" s="248" t="s">
        <v>321</v>
      </c>
      <c r="G52" s="572">
        <v>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70000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f>340000+55000+21200</f>
        <v>416200</v>
      </c>
      <c r="H58" s="222"/>
    </row>
    <row r="59" spans="1:8" ht="20.100000000000001" customHeight="1">
      <c r="A59" s="630" t="s">
        <v>334</v>
      </c>
      <c r="B59" s="232"/>
      <c r="C59" s="232"/>
      <c r="D59" s="232"/>
      <c r="E59" s="232"/>
      <c r="F59" s="248" t="s">
        <v>335</v>
      </c>
      <c r="G59" s="572">
        <f>150000+30000+500+8300-75000</f>
        <v>113800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10800572</v>
      </c>
      <c r="H63" s="222"/>
    </row>
    <row r="64" spans="1:8" ht="20.100000000000001" customHeight="1">
      <c r="A64" s="629"/>
      <c r="B64" s="229"/>
      <c r="C64" s="229"/>
      <c r="D64" s="229"/>
      <c r="E64" s="229"/>
      <c r="F64" s="235"/>
      <c r="G64" s="241"/>
      <c r="H64" s="222"/>
    </row>
    <row r="65" spans="1:8" ht="20.100000000000001" customHeight="1">
      <c r="A65" s="1075" t="s">
        <v>341</v>
      </c>
      <c r="B65" s="1076"/>
      <c r="C65" s="1076"/>
      <c r="D65" s="1076"/>
      <c r="E65" s="1076"/>
      <c r="F65" s="1077"/>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1400000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1400000</v>
      </c>
      <c r="H71" s="222"/>
    </row>
    <row r="72" spans="1:8" ht="20.100000000000001" customHeight="1">
      <c r="A72" s="910"/>
      <c r="B72" s="712"/>
      <c r="C72" s="712"/>
      <c r="D72" s="712"/>
      <c r="E72" s="712"/>
      <c r="F72" s="713"/>
      <c r="G72" s="911"/>
      <c r="H72" s="222"/>
    </row>
    <row r="73" spans="1:8" ht="20.100000000000001" customHeight="1">
      <c r="A73" s="1075" t="s">
        <v>349</v>
      </c>
      <c r="B73" s="1076"/>
      <c r="C73" s="1076"/>
      <c r="D73" s="1076"/>
      <c r="E73" s="1076"/>
      <c r="F73" s="1077"/>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17140914</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210378</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0</v>
      </c>
      <c r="H80" s="222"/>
    </row>
    <row r="81" spans="1:10" ht="20.100000000000001" customHeight="1">
      <c r="A81" s="629" t="s">
        <v>361</v>
      </c>
      <c r="B81" s="229"/>
      <c r="C81" s="229"/>
      <c r="D81" s="229"/>
      <c r="E81" s="229"/>
      <c r="F81" s="235" t="s">
        <v>362</v>
      </c>
      <c r="G81" s="655">
        <f>'CHECK SHEET'!D104</f>
        <v>3384175</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20735467</v>
      </c>
      <c r="H85" s="222"/>
    </row>
    <row r="86" spans="1:10" ht="20.100000000000001" customHeight="1">
      <c r="A86" s="910"/>
      <c r="B86" s="712"/>
      <c r="C86" s="712"/>
      <c r="D86" s="712"/>
      <c r="E86" s="712"/>
      <c r="F86" s="713"/>
      <c r="G86" s="911"/>
      <c r="H86" s="222"/>
    </row>
    <row r="87" spans="1:10" ht="20.100000000000001" customHeight="1">
      <c r="A87" s="1078" t="s">
        <v>368</v>
      </c>
      <c r="B87" s="1079"/>
      <c r="C87" s="1079"/>
      <c r="D87" s="1079"/>
      <c r="E87" s="1079"/>
      <c r="F87" s="1080"/>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2">
        <v>43518</v>
      </c>
      <c r="G90" s="658">
        <v>0</v>
      </c>
      <c r="H90" s="222"/>
      <c r="J90" s="252"/>
    </row>
    <row r="91" spans="1:10" ht="20.100000000000001" customHeight="1">
      <c r="A91" s="630" t="s">
        <v>372</v>
      </c>
      <c r="B91" s="232"/>
      <c r="C91" s="232"/>
      <c r="D91" s="232"/>
      <c r="E91" s="232"/>
      <c r="F91" s="1262">
        <v>43519</v>
      </c>
      <c r="G91" s="658">
        <v>0</v>
      </c>
      <c r="H91" s="222"/>
    </row>
    <row r="92" spans="1:10" ht="20.100000000000001" customHeight="1">
      <c r="A92" s="630" t="s">
        <v>7</v>
      </c>
      <c r="B92" s="232"/>
      <c r="C92" s="232"/>
      <c r="D92" s="232"/>
      <c r="E92" s="232"/>
      <c r="F92" s="255">
        <v>43521</v>
      </c>
      <c r="G92" s="658">
        <v>1500000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1500000</v>
      </c>
      <c r="H96" s="222"/>
    </row>
    <row r="97" spans="1:8" ht="20.100000000000001" customHeight="1">
      <c r="A97" s="629"/>
      <c r="B97" s="229"/>
      <c r="C97" s="229"/>
      <c r="D97" s="229"/>
      <c r="E97" s="229"/>
      <c r="F97" s="235"/>
      <c r="G97" s="254"/>
      <c r="H97" s="222"/>
    </row>
    <row r="98" spans="1:8" ht="20.100000000000001" customHeight="1">
      <c r="A98" s="1081" t="s">
        <v>376</v>
      </c>
      <c r="B98" s="1082"/>
      <c r="C98" s="1082"/>
      <c r="D98" s="1082"/>
      <c r="E98" s="1082"/>
      <c r="F98" s="1083"/>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f>130000+20000+240000</f>
        <v>390000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390000</v>
      </c>
      <c r="H105" s="222"/>
    </row>
    <row r="106" spans="1:8" ht="20.100000000000001" customHeight="1">
      <c r="A106" s="629"/>
      <c r="B106" s="229"/>
      <c r="C106" s="229"/>
      <c r="D106" s="229"/>
      <c r="E106" s="229"/>
      <c r="F106" s="235"/>
      <c r="G106" s="254"/>
      <c r="H106" s="222"/>
    </row>
    <row r="107" spans="1:8" ht="20.100000000000001" customHeight="1">
      <c r="A107" s="1075" t="s">
        <v>385</v>
      </c>
      <c r="B107" s="1076"/>
      <c r="C107" s="1076"/>
      <c r="D107" s="1076"/>
      <c r="E107" s="1076"/>
      <c r="F107" s="1077"/>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240000</v>
      </c>
      <c r="H110" s="222"/>
    </row>
    <row r="111" spans="1:8" ht="20.100000000000001" customHeight="1">
      <c r="A111" s="629" t="s">
        <v>390</v>
      </c>
      <c r="B111" s="229"/>
      <c r="C111" s="229"/>
      <c r="D111" s="229"/>
      <c r="E111" s="229"/>
      <c r="F111" s="235" t="s">
        <v>391</v>
      </c>
      <c r="G111" s="573">
        <f>10000+55000</f>
        <v>65000</v>
      </c>
      <c r="H111" s="222"/>
    </row>
    <row r="112" spans="1:8" ht="20.100000000000001" customHeight="1">
      <c r="A112" s="629" t="s">
        <v>392</v>
      </c>
      <c r="B112" s="229"/>
      <c r="C112" s="229"/>
      <c r="D112" s="229"/>
      <c r="E112" s="229"/>
      <c r="F112" s="235" t="s">
        <v>393</v>
      </c>
      <c r="G112" s="573">
        <v>10000</v>
      </c>
      <c r="H112" s="222"/>
    </row>
    <row r="113" spans="1:8" ht="20.100000000000001" customHeight="1">
      <c r="A113" s="629" t="s">
        <v>394</v>
      </c>
      <c r="B113" s="229"/>
      <c r="C113" s="229"/>
      <c r="D113" s="229"/>
      <c r="E113" s="229"/>
      <c r="F113" s="235" t="s">
        <v>395</v>
      </c>
      <c r="G113" s="1240">
        <v>45000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360000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1" t="s">
        <v>400</v>
      </c>
      <c r="B121" s="1082"/>
      <c r="C121" s="1082"/>
      <c r="D121" s="1082"/>
      <c r="E121" s="1082"/>
      <c r="F121" s="1083"/>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25000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1000</v>
      </c>
      <c r="H125" s="222"/>
    </row>
    <row r="126" spans="1:8" ht="20.100000000000001" customHeight="1">
      <c r="A126" s="629" t="s">
        <v>407</v>
      </c>
      <c r="B126" s="229"/>
      <c r="C126" s="229"/>
      <c r="D126" s="229"/>
      <c r="E126" s="229"/>
      <c r="F126" s="235" t="s">
        <v>408</v>
      </c>
      <c r="G126" s="573">
        <f>200000+12000+15000+15000</f>
        <v>242000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268000</v>
      </c>
      <c r="H128" s="222"/>
    </row>
    <row r="129" spans="1:8" ht="20.100000000000001" customHeight="1">
      <c r="A129" s="629"/>
      <c r="B129" s="229"/>
      <c r="C129" s="229"/>
      <c r="D129" s="229"/>
      <c r="E129" s="229"/>
      <c r="F129" s="235"/>
      <c r="G129" s="254"/>
      <c r="H129" s="222"/>
    </row>
    <row r="130" spans="1:8" ht="20.100000000000001" customHeight="1">
      <c r="A130" s="1075" t="s">
        <v>410</v>
      </c>
      <c r="B130" s="1076"/>
      <c r="C130" s="1076"/>
      <c r="D130" s="1076"/>
      <c r="E130" s="1076"/>
      <c r="F130" s="1077"/>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425000</v>
      </c>
      <c r="H134" s="222"/>
    </row>
    <row r="135" spans="1:8" ht="20.100000000000001" customHeight="1">
      <c r="A135" s="630" t="s">
        <v>416</v>
      </c>
      <c r="B135" s="232"/>
      <c r="C135" s="232"/>
      <c r="D135" s="641"/>
      <c r="E135" s="246"/>
      <c r="F135" s="258">
        <v>49240</v>
      </c>
      <c r="G135" s="573">
        <v>31000</v>
      </c>
      <c r="H135" s="222"/>
    </row>
    <row r="136" spans="1:8" ht="20.100000000000001" customHeight="1">
      <c r="A136" s="629" t="s">
        <v>417</v>
      </c>
      <c r="B136" s="229"/>
      <c r="C136" s="229"/>
      <c r="D136" s="229"/>
      <c r="E136" s="229"/>
      <c r="F136" s="235" t="s">
        <v>418</v>
      </c>
      <c r="G136" s="573">
        <v>20000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476000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35930039</v>
      </c>
      <c r="H143" s="222"/>
    </row>
    <row r="144" spans="1:8" ht="20.100000000000001" customHeight="1" thickTop="1">
      <c r="A144" s="910"/>
      <c r="B144" s="712"/>
      <c r="C144" s="712"/>
      <c r="D144" s="712"/>
      <c r="E144" s="712"/>
      <c r="F144" s="788"/>
      <c r="G144" s="789"/>
      <c r="H144" s="222"/>
    </row>
    <row r="145" spans="1:8" ht="20.100000000000001" customHeight="1">
      <c r="A145" s="1075" t="s">
        <v>426</v>
      </c>
      <c r="B145" s="1076"/>
      <c r="C145" s="1076"/>
      <c r="D145" s="1076"/>
      <c r="E145" s="1076"/>
      <c r="F145" s="1077"/>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775618</v>
      </c>
      <c r="H147" s="222"/>
    </row>
    <row r="148" spans="1:8" ht="20.100000000000001" customHeight="1">
      <c r="A148" s="629" t="s">
        <v>429</v>
      </c>
      <c r="B148" s="222"/>
      <c r="C148" s="222"/>
      <c r="D148" s="222"/>
      <c r="E148" s="222"/>
      <c r="F148" s="235" t="s">
        <v>430</v>
      </c>
      <c r="G148" s="577">
        <v>587850</v>
      </c>
      <c r="H148" s="222"/>
    </row>
    <row r="149" spans="1:8" ht="20.100000000000001" customHeight="1">
      <c r="A149" s="629" t="s">
        <v>431</v>
      </c>
      <c r="B149" s="222"/>
      <c r="C149" s="222"/>
      <c r="D149" s="222"/>
      <c r="E149" s="222"/>
      <c r="F149" s="235" t="s">
        <v>432</v>
      </c>
      <c r="G149" s="577">
        <v>240944</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f>4970424+50000+420540</f>
        <v>5440964</v>
      </c>
      <c r="H152" s="222"/>
    </row>
    <row r="153" spans="1:8" ht="20.100000000000001" customHeight="1">
      <c r="A153" s="629" t="s">
        <v>439</v>
      </c>
      <c r="B153" s="229"/>
      <c r="C153" s="229"/>
      <c r="D153" s="229"/>
      <c r="E153" s="229"/>
      <c r="F153" s="235" t="s">
        <v>440</v>
      </c>
      <c r="G153" s="577">
        <f>670381</f>
        <v>670381</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f>4709572+55000</f>
        <v>4764572</v>
      </c>
      <c r="H162" s="222"/>
    </row>
    <row r="163" spans="1:8" ht="20.100000000000001" customHeight="1">
      <c r="A163" s="629" t="s">
        <v>458</v>
      </c>
      <c r="B163" s="229"/>
      <c r="C163" s="229"/>
      <c r="D163" s="229"/>
      <c r="E163" s="229"/>
      <c r="F163" s="235" t="s">
        <v>459</v>
      </c>
      <c r="G163" s="577">
        <v>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v>2454082</v>
      </c>
      <c r="H167" s="222"/>
    </row>
    <row r="168" spans="1:8" ht="20.100000000000001" customHeight="1">
      <c r="A168" s="629" t="s">
        <v>468</v>
      </c>
      <c r="B168" s="229"/>
      <c r="C168" s="229"/>
      <c r="D168" s="229"/>
      <c r="E168" s="229"/>
      <c r="F168" s="235" t="s">
        <v>469</v>
      </c>
      <c r="G168" s="577">
        <v>0</v>
      </c>
      <c r="H168" s="222"/>
    </row>
    <row r="169" spans="1:8" ht="20.100000000000001" customHeight="1">
      <c r="A169" s="629" t="s">
        <v>470</v>
      </c>
      <c r="B169" s="229"/>
      <c r="C169" s="229"/>
      <c r="D169" s="229"/>
      <c r="E169" s="229"/>
      <c r="F169" s="235" t="s">
        <v>471</v>
      </c>
      <c r="G169" s="577">
        <v>0</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0</v>
      </c>
      <c r="H171" s="222"/>
    </row>
    <row r="172" spans="1:8" ht="20.100000000000001" customHeight="1">
      <c r="A172" s="629" t="s">
        <v>476</v>
      </c>
      <c r="B172" s="229"/>
      <c r="C172" s="229"/>
      <c r="D172" s="229"/>
      <c r="E172" s="229"/>
      <c r="F172" s="238">
        <v>56001</v>
      </c>
      <c r="G172" s="577">
        <v>1250160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f>50936+22608</f>
        <v>73544</v>
      </c>
      <c r="H177" s="222"/>
    </row>
    <row r="178" spans="1:8" ht="20.100000000000001" customHeight="1">
      <c r="A178" s="629" t="s">
        <v>485</v>
      </c>
      <c r="B178" s="229"/>
      <c r="C178" s="229"/>
      <c r="D178" s="229"/>
      <c r="E178" s="229"/>
      <c r="F178" s="235" t="s">
        <v>486</v>
      </c>
      <c r="G178" s="577">
        <f>566264+82323</f>
        <v>648587</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44137</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f>885324+207030</f>
        <v>1092354</v>
      </c>
      <c r="H185" s="222"/>
    </row>
    <row r="186" spans="1:8" ht="20.100000000000001" customHeight="1">
      <c r="A186" s="629" t="s">
        <v>501</v>
      </c>
      <c r="B186" s="229"/>
      <c r="C186" s="229"/>
      <c r="D186" s="229"/>
      <c r="E186" s="229"/>
      <c r="F186" s="235" t="s">
        <v>502</v>
      </c>
      <c r="G186" s="577">
        <f>1414714+54963+62112</f>
        <v>1531789</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v>1734585</v>
      </c>
      <c r="H191" s="222"/>
    </row>
    <row r="192" spans="1:8" ht="20.100000000000001" customHeight="1">
      <c r="A192" s="629" t="s">
        <v>512</v>
      </c>
      <c r="B192" s="229"/>
      <c r="C192" s="229"/>
      <c r="D192" s="229"/>
      <c r="E192" s="229"/>
      <c r="F192" s="235" t="s">
        <v>513</v>
      </c>
      <c r="G192" s="577">
        <v>40000</v>
      </c>
      <c r="H192" s="222"/>
    </row>
    <row r="193" spans="1:8" ht="20.100000000000001" customHeight="1">
      <c r="A193" s="629" t="s">
        <v>514</v>
      </c>
      <c r="B193" s="229"/>
      <c r="C193" s="229"/>
      <c r="D193" s="229"/>
      <c r="E193" s="229"/>
      <c r="F193" s="235" t="s">
        <v>515</v>
      </c>
      <c r="G193" s="577">
        <v>307240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21656807</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f>54606+70025+83500+190425+21450</f>
        <v>420006</v>
      </c>
      <c r="H199" s="222"/>
    </row>
    <row r="200" spans="1:8" ht="20.100000000000001" customHeight="1">
      <c r="A200" s="629" t="s">
        <v>520</v>
      </c>
      <c r="B200" s="229"/>
      <c r="C200" s="229"/>
      <c r="D200" s="229"/>
      <c r="E200" s="229"/>
      <c r="F200" s="235" t="s">
        <v>521</v>
      </c>
      <c r="G200" s="577">
        <v>42204</v>
      </c>
      <c r="H200" s="222"/>
    </row>
    <row r="201" spans="1:8" ht="20.100000000000001" customHeight="1">
      <c r="A201" s="629" t="s">
        <v>522</v>
      </c>
      <c r="B201" s="229"/>
      <c r="C201" s="229"/>
      <c r="D201" s="229"/>
      <c r="E201" s="229"/>
      <c r="F201" s="235" t="s">
        <v>523</v>
      </c>
      <c r="G201" s="577">
        <f>50000+7000+84000</f>
        <v>141000</v>
      </c>
      <c r="H201" s="222"/>
    </row>
    <row r="202" spans="1:8" ht="20.100000000000001" customHeight="1">
      <c r="A202" s="629" t="s">
        <v>524</v>
      </c>
      <c r="B202" s="229"/>
      <c r="C202" s="229"/>
      <c r="D202" s="229"/>
      <c r="E202" s="229"/>
      <c r="F202" s="235" t="s">
        <v>525</v>
      </c>
      <c r="G202" s="577">
        <f>80290+75095</f>
        <v>155385</v>
      </c>
      <c r="H202" s="222"/>
    </row>
    <row r="203" spans="1:8" ht="20.100000000000001" customHeight="1">
      <c r="A203" s="629" t="s">
        <v>526</v>
      </c>
      <c r="B203" s="229"/>
      <c r="C203" s="229"/>
      <c r="D203" s="229"/>
      <c r="E203" s="229"/>
      <c r="F203" s="235" t="s">
        <v>527</v>
      </c>
      <c r="G203" s="577">
        <f>70465+238680+14500+1373891</f>
        <v>1697536</v>
      </c>
      <c r="H203" s="222"/>
    </row>
    <row r="204" spans="1:8" ht="20.100000000000001" customHeight="1">
      <c r="A204" s="629" t="s">
        <v>528</v>
      </c>
      <c r="B204" s="229"/>
      <c r="C204" s="229"/>
      <c r="D204" s="229"/>
      <c r="E204" s="229"/>
      <c r="F204" s="235" t="s">
        <v>529</v>
      </c>
      <c r="G204" s="577">
        <f>9400+43808+40000+7350+27000</f>
        <v>127558</v>
      </c>
      <c r="H204" s="222"/>
    </row>
    <row r="205" spans="1:8" ht="20.100000000000001" customHeight="1">
      <c r="A205" s="629" t="s">
        <v>530</v>
      </c>
      <c r="B205" s="229"/>
      <c r="C205" s="229"/>
      <c r="D205" s="229"/>
      <c r="E205" s="229"/>
      <c r="F205" s="235" t="s">
        <v>531</v>
      </c>
      <c r="G205" s="577">
        <f>525000+80000+9500+13500+6500+125000+375000+8700+1555</f>
        <v>1144755</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76800</v>
      </c>
      <c r="H207" s="222"/>
    </row>
    <row r="208" spans="1:8" ht="20.100000000000001" customHeight="1">
      <c r="A208" s="629" t="s">
        <v>536</v>
      </c>
      <c r="B208" s="229"/>
      <c r="C208" s="229"/>
      <c r="D208" s="229"/>
      <c r="E208" s="229"/>
      <c r="F208" s="235" t="s">
        <v>537</v>
      </c>
      <c r="G208" s="577">
        <v>358100</v>
      </c>
      <c r="H208" s="222"/>
    </row>
    <row r="209" spans="1:8" ht="20.100000000000001" customHeight="1">
      <c r="A209" s="629" t="s">
        <v>538</v>
      </c>
      <c r="B209" s="229"/>
      <c r="C209" s="229"/>
      <c r="D209" s="229"/>
      <c r="E209" s="229"/>
      <c r="F209" s="235" t="s">
        <v>539</v>
      </c>
      <c r="G209" s="577">
        <v>1057600</v>
      </c>
      <c r="H209" s="222"/>
    </row>
    <row r="210" spans="1:8" ht="20.100000000000001" customHeight="1">
      <c r="A210" s="629" t="s">
        <v>540</v>
      </c>
      <c r="B210" s="229"/>
      <c r="C210" s="229"/>
      <c r="D210" s="229"/>
      <c r="E210" s="229"/>
      <c r="F210" s="235" t="s">
        <v>541</v>
      </c>
      <c r="G210" s="577">
        <v>61200</v>
      </c>
      <c r="H210" s="222"/>
    </row>
    <row r="211" spans="1:8" ht="20.100000000000001" customHeight="1">
      <c r="A211" s="629" t="s">
        <v>542</v>
      </c>
      <c r="B211" s="229"/>
      <c r="C211" s="229"/>
      <c r="D211" s="229"/>
      <c r="E211" s="229"/>
      <c r="F211" s="235" t="s">
        <v>543</v>
      </c>
      <c r="G211" s="577">
        <v>9610</v>
      </c>
      <c r="H211" s="222"/>
    </row>
    <row r="212" spans="1:8" ht="20.100000000000001" customHeight="1">
      <c r="A212" s="629" t="s">
        <v>544</v>
      </c>
      <c r="B212" s="222"/>
      <c r="C212" s="222"/>
      <c r="D212" s="222"/>
      <c r="E212" s="222"/>
      <c r="F212" s="235" t="s">
        <v>545</v>
      </c>
      <c r="G212" s="577">
        <v>3290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f>512790+4000+92650+18000+2850+3200+1262032+1431037+92286+628395+10500+100+238497+2600</f>
        <v>4298937</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f>97000+14200+31000+45050+26958+5800+25000+1200</f>
        <v>246208</v>
      </c>
      <c r="H217" s="222"/>
    </row>
    <row r="218" spans="1:8" ht="20.100000000000001" customHeight="1">
      <c r="A218" s="629" t="s">
        <v>554</v>
      </c>
      <c r="B218" s="229"/>
      <c r="C218" s="229"/>
      <c r="D218" s="229"/>
      <c r="E218" s="229"/>
      <c r="F218" s="235" t="s">
        <v>555</v>
      </c>
      <c r="G218" s="577">
        <f>550109+80052+16100</f>
        <v>646261</v>
      </c>
      <c r="H218" s="222"/>
    </row>
    <row r="219" spans="1:8" ht="20.100000000000001" customHeight="1">
      <c r="A219" s="629" t="s">
        <v>556</v>
      </c>
      <c r="B219" s="222"/>
      <c r="C219" s="222"/>
      <c r="D219" s="222"/>
      <c r="E219" s="222"/>
      <c r="F219" s="256" t="s">
        <v>557</v>
      </c>
      <c r="G219" s="577">
        <f>54450+10331</f>
        <v>64781</v>
      </c>
      <c r="H219" s="222"/>
    </row>
    <row r="220" spans="1:8" ht="20.100000000000001" customHeight="1">
      <c r="A220" s="629" t="s">
        <v>558</v>
      </c>
      <c r="B220" s="229"/>
      <c r="C220" s="229"/>
      <c r="D220" s="229"/>
      <c r="E220" s="229"/>
      <c r="F220" s="235" t="s">
        <v>559</v>
      </c>
      <c r="G220" s="577">
        <f>173697+500+3650+16600+3250</f>
        <v>197697</v>
      </c>
      <c r="H220" s="222"/>
    </row>
    <row r="221" spans="1:8" ht="20.100000000000001" customHeight="1">
      <c r="A221" s="629" t="s">
        <v>560</v>
      </c>
      <c r="B221" s="229"/>
      <c r="C221" s="229"/>
      <c r="D221" s="229"/>
      <c r="E221" s="229"/>
      <c r="F221" s="235" t="s">
        <v>561</v>
      </c>
      <c r="G221" s="577">
        <f>21500+48000+7500+172473+4725+13700</f>
        <v>267898</v>
      </c>
      <c r="H221" s="222"/>
    </row>
    <row r="222" spans="1:8" ht="20.100000000000001" customHeight="1">
      <c r="A222" s="630" t="s">
        <v>562</v>
      </c>
      <c r="B222" s="232"/>
      <c r="C222" s="232"/>
      <c r="D222" s="232"/>
      <c r="E222" s="232"/>
      <c r="F222" s="248" t="s">
        <v>563</v>
      </c>
      <c r="G222" s="577">
        <f>27000+2000+25000+12500+74100</f>
        <v>140600</v>
      </c>
      <c r="H222" s="222"/>
    </row>
    <row r="223" spans="1:8" ht="20.100000000000001" customHeight="1">
      <c r="A223" s="629" t="s">
        <v>564</v>
      </c>
      <c r="B223" s="229"/>
      <c r="C223" s="229"/>
      <c r="D223" s="229"/>
      <c r="E223" s="229"/>
      <c r="F223" s="253" t="s">
        <v>565</v>
      </c>
      <c r="G223" s="577">
        <v>20000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f>14000+5000</f>
        <v>19000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1852788</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35000</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506101</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13590315</v>
      </c>
      <c r="H238" s="222"/>
    </row>
    <row r="239" spans="1:9" ht="20.100000000000001" customHeight="1">
      <c r="A239" s="642"/>
      <c r="B239" s="262"/>
      <c r="C239" s="262"/>
      <c r="D239" s="262"/>
      <c r="E239" s="262"/>
      <c r="F239" s="717"/>
      <c r="G239" s="718"/>
      <c r="H239" s="222"/>
    </row>
    <row r="240" spans="1:9" ht="20.100000000000001" customHeight="1">
      <c r="A240" s="1075" t="s">
        <v>172</v>
      </c>
      <c r="B240" s="1076"/>
      <c r="C240" s="1076"/>
      <c r="D240" s="1076"/>
      <c r="E240" s="1076"/>
      <c r="F240" s="1077"/>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f>39000+72920</f>
        <v>111920</v>
      </c>
      <c r="H242" s="222"/>
    </row>
    <row r="243" spans="1:10" ht="20.100000000000001" customHeight="1">
      <c r="A243" s="630" t="s">
        <v>594</v>
      </c>
      <c r="B243" s="232"/>
      <c r="C243" s="232"/>
      <c r="D243" s="232"/>
      <c r="E243" s="232"/>
      <c r="F243" s="248" t="s">
        <v>595</v>
      </c>
      <c r="G243" s="577">
        <f>115500+1420+35894+3798</f>
        <v>156612</v>
      </c>
      <c r="H243" s="222"/>
    </row>
    <row r="244" spans="1:10" ht="20.100000000000001" customHeight="1">
      <c r="A244" s="629" t="s">
        <v>596</v>
      </c>
      <c r="B244" s="229"/>
      <c r="C244" s="229"/>
      <c r="D244" s="229"/>
      <c r="E244" s="229"/>
      <c r="F244" s="235" t="s">
        <v>597</v>
      </c>
      <c r="G244" s="577">
        <f>70000+8000+10000</f>
        <v>88000</v>
      </c>
      <c r="H244" s="222"/>
    </row>
    <row r="245" spans="1:10" ht="20.100000000000001" customHeight="1">
      <c r="A245" s="630" t="s">
        <v>598</v>
      </c>
      <c r="B245" s="232"/>
      <c r="C245" s="232"/>
      <c r="D245" s="232"/>
      <c r="E245" s="232"/>
      <c r="F245" s="248" t="s">
        <v>599</v>
      </c>
      <c r="G245" s="577">
        <v>935</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789</v>
      </c>
      <c r="B247" s="232"/>
      <c r="C247" s="232"/>
      <c r="D247" s="232"/>
      <c r="E247" s="232"/>
      <c r="F247" s="255">
        <v>73100</v>
      </c>
      <c r="G247" s="577">
        <v>325000</v>
      </c>
      <c r="H247" s="666"/>
      <c r="I247" s="225"/>
    </row>
    <row r="248" spans="1:10" ht="20.100000000000001" customHeight="1">
      <c r="A248" s="630" t="s">
        <v>601</v>
      </c>
      <c r="B248" s="232"/>
      <c r="C248" s="232"/>
      <c r="D248" s="232"/>
      <c r="E248" s="232"/>
      <c r="F248" s="248" t="s">
        <v>602</v>
      </c>
      <c r="G248" s="577">
        <v>450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682917</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35930039</v>
      </c>
      <c r="H256" s="222"/>
    </row>
    <row r="257" spans="1:8" ht="20.100000000000001" customHeight="1" thickTop="1">
      <c r="A257" s="928"/>
      <c r="B257" s="929"/>
      <c r="C257" s="929"/>
      <c r="D257" s="929"/>
      <c r="E257" s="929"/>
      <c r="F257" s="930"/>
      <c r="G257" s="931"/>
      <c r="H257" s="222"/>
    </row>
    <row r="258" spans="1:8" ht="20.100000000000001" customHeight="1">
      <c r="A258" s="1084"/>
      <c r="B258" s="1085"/>
      <c r="C258" s="1085"/>
      <c r="D258" s="1085"/>
      <c r="E258" s="1085"/>
      <c r="F258" s="1086"/>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v>2954652</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2954652</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-17336249</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-14381597</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Edward Rosentel</cp:lastModifiedBy>
  <cp:revision/>
  <cp:lastPrinted>2021-05-06T15:15:13Z</cp:lastPrinted>
  <dcterms:created xsi:type="dcterms:W3CDTF">2005-03-22T15:46:43Z</dcterms:created>
  <dcterms:modified xsi:type="dcterms:W3CDTF">2021-05-26T17:45:08Z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