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51" i="7" l="1"/>
  <c r="D12" i="6"/>
  <c r="D10" i="6"/>
  <c r="D11" i="6"/>
  <c r="D13" i="6"/>
  <c r="D14" i="6"/>
  <c r="D23" i="6"/>
  <c r="D22" i="6"/>
  <c r="D83" i="15" l="1"/>
  <c r="D48" i="15"/>
  <c r="D17" i="8" l="1"/>
  <c r="D14" i="8"/>
  <c r="D10" i="8"/>
  <c r="C14" i="8" l="1"/>
  <c r="G219" i="7"/>
  <c r="G243" i="7"/>
  <c r="G244" i="7"/>
  <c r="G218" i="7" l="1"/>
  <c r="G221" i="7"/>
  <c r="G217" i="7"/>
  <c r="G205" i="7"/>
  <c r="G203" i="7"/>
  <c r="G199" i="7"/>
  <c r="G185" i="7"/>
  <c r="G152" i="7"/>
  <c r="G80" i="7" l="1"/>
  <c r="G59" i="7"/>
  <c r="F13" i="6" l="1"/>
  <c r="S113" i="23" l="1"/>
  <c r="V113" i="23"/>
  <c r="AG113" i="23"/>
  <c r="AB113" i="23" s="1"/>
  <c r="Z113" i="23" s="1"/>
  <c r="E48" i="23" l="1"/>
  <c r="E49" i="23"/>
  <c r="E50" i="23"/>
  <c r="E51" i="23"/>
  <c r="E53" i="23"/>
  <c r="D57" i="23"/>
  <c r="E56" i="23"/>
  <c r="E52" i="23" l="1"/>
  <c r="G10" i="6"/>
  <c r="G11" i="6"/>
  <c r="G12" i="6"/>
  <c r="G13" i="6"/>
  <c r="H13" i="6" s="1"/>
  <c r="G15" i="7" s="1"/>
  <c r="G14" i="6"/>
  <c r="G15" i="6"/>
  <c r="F32" i="6"/>
  <c r="H32" i="6" s="1"/>
  <c r="G32" i="6"/>
  <c r="F33" i="6"/>
  <c r="G33" i="6"/>
  <c r="F34" i="6"/>
  <c r="G34" i="6"/>
  <c r="H34" i="6"/>
  <c r="G32" i="7" s="1"/>
  <c r="F35" i="6"/>
  <c r="G35" i="6"/>
  <c r="E19" i="6"/>
  <c r="F19" i="6" s="1"/>
  <c r="G21" i="7" s="1"/>
  <c r="E20" i="6"/>
  <c r="F20" i="6" s="1"/>
  <c r="G22" i="7" s="1"/>
  <c r="E21" i="6"/>
  <c r="F21" i="6" s="1"/>
  <c r="G23" i="7" s="1"/>
  <c r="E22" i="6"/>
  <c r="F22" i="6"/>
  <c r="G24" i="7" s="1"/>
  <c r="E23" i="6"/>
  <c r="F23" i="6"/>
  <c r="G25" i="7"/>
  <c r="E24" i="6"/>
  <c r="F24" i="6"/>
  <c r="G26" i="7" s="1"/>
  <c r="B34" i="5"/>
  <c r="E39" i="6" s="1"/>
  <c r="F39" i="6" s="1"/>
  <c r="B35" i="5"/>
  <c r="E40" i="6" s="1"/>
  <c r="F40" i="6" s="1"/>
  <c r="G38" i="7" s="1"/>
  <c r="B37" i="5"/>
  <c r="E41" i="6"/>
  <c r="F41" i="6" s="1"/>
  <c r="G39" i="7" s="1"/>
  <c r="B38" i="5"/>
  <c r="E42" i="6"/>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70" i="22" s="1"/>
  <c r="E66" i="22"/>
  <c r="D65" i="22"/>
  <c r="D67" i="22" s="1"/>
  <c r="D59" i="22"/>
  <c r="D62" i="22" s="1"/>
  <c r="D60" i="22"/>
  <c r="B52" i="22"/>
  <c r="E33" i="22"/>
  <c r="E34" i="22"/>
  <c r="D33" i="22"/>
  <c r="D34" i="22" s="1"/>
  <c r="D26" i="22"/>
  <c r="D38" i="22"/>
  <c r="C38" i="22"/>
  <c r="E15" i="22"/>
  <c r="D15" i="22"/>
  <c r="B46" i="22"/>
  <c r="E26" i="22"/>
  <c r="E59" i="22"/>
  <c r="E61" i="22"/>
  <c r="E38" i="22"/>
  <c r="B29" i="5"/>
  <c r="G14" i="5"/>
  <c r="H14" i="5" s="1"/>
  <c r="G254" i="7"/>
  <c r="E15" i="8"/>
  <c r="E36" i="6"/>
  <c r="D36" i="6"/>
  <c r="D43" i="6"/>
  <c r="D26" i="6"/>
  <c r="E17" i="6"/>
  <c r="G20" i="5"/>
  <c r="H20" i="5"/>
  <c r="G19" i="5"/>
  <c r="H19" i="5" s="1"/>
  <c r="G22" i="5"/>
  <c r="H22" i="5"/>
  <c r="G23" i="5"/>
  <c r="H23" i="5" s="1"/>
  <c r="E20" i="12"/>
  <c r="E29" i="12"/>
  <c r="E30" i="12"/>
  <c r="G195" i="7"/>
  <c r="D21" i="8"/>
  <c r="E68" i="3"/>
  <c r="C94" i="12"/>
  <c r="B31" i="5"/>
  <c r="H31" i="5" s="1"/>
  <c r="I31" i="5" s="1"/>
  <c r="B30" i="5"/>
  <c r="H30" i="5" s="1"/>
  <c r="I30" i="5" s="1"/>
  <c r="G16" i="5"/>
  <c r="H16" i="5" s="1"/>
  <c r="G15" i="5"/>
  <c r="H15" i="5" s="1"/>
  <c r="D96" i="8"/>
  <c r="C96" i="8"/>
  <c r="B69" i="6"/>
  <c r="C93" i="3" s="1"/>
  <c r="E19" i="4"/>
  <c r="E69" i="3"/>
  <c r="E70" i="3"/>
  <c r="E71" i="3"/>
  <c r="E72" i="3"/>
  <c r="E73" i="3"/>
  <c r="B21" i="8"/>
  <c r="C21" i="8"/>
  <c r="E10" i="8"/>
  <c r="E12" i="8"/>
  <c r="E16" i="8"/>
  <c r="E17" i="8"/>
  <c r="E18" i="8"/>
  <c r="E19" i="8"/>
  <c r="E20" i="8"/>
  <c r="E36" i="4"/>
  <c r="C127" i="3" s="1"/>
  <c r="D33" i="4"/>
  <c r="B60" i="6"/>
  <c r="C96" i="3"/>
  <c r="E26" i="4"/>
  <c r="C95" i="3" s="1"/>
  <c r="E16" i="4"/>
  <c r="G270" i="7"/>
  <c r="G274" i="7"/>
  <c r="C120" i="3" s="1"/>
  <c r="E14" i="8"/>
  <c r="G238" i="7"/>
  <c r="X141" i="23"/>
  <c r="E60" i="22"/>
  <c r="F36" i="6"/>
  <c r="D66" i="22"/>
  <c r="H35" i="6"/>
  <c r="G33" i="7" s="1"/>
  <c r="H33" i="6"/>
  <c r="H34" i="5"/>
  <c r="I34" i="5" s="1"/>
  <c r="E62" i="22"/>
  <c r="C113" i="3"/>
  <c r="H38" i="5"/>
  <c r="I38" i="5" s="1"/>
  <c r="D92" i="23"/>
  <c r="E92" i="23" s="1"/>
  <c r="F92" i="23" s="1"/>
  <c r="H37" i="5"/>
  <c r="I37" i="5" s="1"/>
  <c r="G31" i="7"/>
  <c r="D17" i="6"/>
  <c r="F12" i="6"/>
  <c r="F11" i="6"/>
  <c r="E45" i="3" s="1"/>
  <c r="F14" i="6"/>
  <c r="E48" i="3" s="1"/>
  <c r="F15" i="6"/>
  <c r="E49" i="3" s="1"/>
  <c r="F10" i="6"/>
  <c r="E44" i="3" s="1"/>
  <c r="E47" i="3"/>
  <c r="H15" i="6" l="1"/>
  <c r="G17" i="7" s="1"/>
  <c r="H10" i="6"/>
  <c r="D125" i="15" s="1"/>
  <c r="C144" i="3" s="1"/>
  <c r="C111" i="3"/>
  <c r="G256" i="7"/>
  <c r="E25" i="4" s="1"/>
  <c r="E28" i="4" s="1"/>
  <c r="B70" i="6"/>
  <c r="C92" i="3"/>
  <c r="H14" i="6"/>
  <c r="G16" i="7" s="1"/>
  <c r="H11" i="6"/>
  <c r="G13" i="7" s="1"/>
  <c r="H12" i="6"/>
  <c r="G14" i="7" s="1"/>
  <c r="D70" i="22"/>
  <c r="D68" i="22"/>
  <c r="E69" i="22"/>
  <c r="G37" i="7"/>
  <c r="G42" i="7" s="1"/>
  <c r="F43" i="6"/>
  <c r="G30" i="7"/>
  <c r="G35" i="7" s="1"/>
  <c r="H36" i="6"/>
  <c r="D69" i="22"/>
  <c r="T113" i="23"/>
  <c r="E46" i="3"/>
  <c r="E68" i="22"/>
  <c r="D61" i="22"/>
  <c r="C121" i="3"/>
  <c r="E21" i="8"/>
  <c r="F17" i="6"/>
  <c r="E50" i="3" s="1"/>
  <c r="C112" i="3"/>
  <c r="E74" i="3"/>
  <c r="F118" i="15"/>
  <c r="H29" i="5"/>
  <c r="I29" i="5" s="1"/>
  <c r="G28" i="7"/>
  <c r="F26" i="6"/>
  <c r="D126" i="15"/>
  <c r="C128" i="3"/>
  <c r="C132" i="3" s="1"/>
  <c r="E120" i="15"/>
  <c r="F102" i="15"/>
  <c r="E138"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F46" i="3" l="1"/>
  <c r="G46" i="3" s="1"/>
  <c r="G12" i="7"/>
  <c r="G19" i="7" s="1"/>
  <c r="G44" i="7" s="1"/>
  <c r="G63" i="7" s="1"/>
  <c r="G143" i="7" s="1"/>
  <c r="E18" i="4" s="1"/>
  <c r="E21" i="4" s="1"/>
  <c r="E23" i="4" s="1"/>
  <c r="E44" i="4" s="1"/>
  <c r="C17" i="3" s="1"/>
  <c r="C114" i="3"/>
  <c r="H17" i="6"/>
  <c r="H27" i="6" s="1"/>
  <c r="C137" i="3"/>
  <c r="F125" i="15"/>
  <c r="D136" i="15"/>
  <c r="D138" i="15" s="1"/>
  <c r="H44" i="6"/>
  <c r="C139" i="3"/>
  <c r="F126" i="15"/>
  <c r="F136" i="15" s="1"/>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H46" i="6" l="1"/>
  <c r="C34" i="3" s="1"/>
  <c r="D32" i="4"/>
  <c r="E35" i="4" s="1"/>
  <c r="E38" i="4" s="1"/>
  <c r="C153" i="3"/>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<sst xmlns="http://schemas.openxmlformats.org/spreadsheetml/2006/main" count="1319" uniqueCount="797">
  <si>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</si>
  <si>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</si>
  <si>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</si>
  <si>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</si>
  <si>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</si>
  <si>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</si>
  <si>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</si>
  <si>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</si>
  <si>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</si>
  <si>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</si>
  <si>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</si>
  <si>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</si>
  <si>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</si>
  <si>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</si>
  <si>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</si>
  <si>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</si>
  <si>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</si>
  <si>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</si>
  <si>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</si>
  <si>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</si>
  <si>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</si>
  <si>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</si>
  <si>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</si>
  <si>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</si>
  <si>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</si>
  <si>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</si>
  <si>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</si>
  <si>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</si>
  <si>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</si>
  <si>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</si>
  <si>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</si>
  <si>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</si>
  <si>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</si>
  <si>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</si>
  <si>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</si>
  <si>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</si>
  <si>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</si>
  <si>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</si>
  <si>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</si>
  <si>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</si>
  <si>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</si>
  <si>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</si>
  <si>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</si>
  <si>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</si>
  <si>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</si>
  <si>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</si>
  <si>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</si>
  <si>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</si>
  <si>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</si>
  <si>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</si>
  <si>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</si>
  <si>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</si>
  <si>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</si>
  <si>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</si>
  <si>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</si>
  <si>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</si>
  <si>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</si>
  <si>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</si>
  <si>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</si>
  <si>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</si>
  <si>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</si>
  <si>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</si>
  <si>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</si>
  <si>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</si>
  <si>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</si>
  <si>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</si>
  <si>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</si>
  <si>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</si>
  <si>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</si>
  <si>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</si>
  <si>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</si>
  <si>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</si>
  <si>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</si>
  <si>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</si>
  <si>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</si>
  <si>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</si>
  <si>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</si>
  <si>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</si>
  <si>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</si>
  <si>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</si>
  <si>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</si>
  <si>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</si>
  <si>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</si>
  <si>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</si>
  <si>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</si>
  <si>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</si>
  <si>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</si>
  <si>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</si>
  <si>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</si>
  <si>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</si>
  <si>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</si>
  <si>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</si>
  <si>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</si>
  <si>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</si>
  <si>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</si>
  <si>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</si>
  <si>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</si>
  <si>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</si>
  <si>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</si>
  <si>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</si>
  <si>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</si>
  <si>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</si>
  <si>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</si>
  <si>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</si>
  <si>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</si>
  <si>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</si>
  <si>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</si>
  <si>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</si>
  <si>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</si>
  <si>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</si>
  <si>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</si>
  <si>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</si>
  <si>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</si>
  <si>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</si>
  <si>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</si>
  <si>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</si>
  <si>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</si>
  <si>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</si>
  <si>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</si>
  <si>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</si>
  <si>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</si>
  <si>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</si>
  <si>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</si>
  <si>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</si>
  <si>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</si>
  <si>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</si>
  <si>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</si>
  <si>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</si>
  <si>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</si>
  <si>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</si>
  <si>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</si>
  <si>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</si>
  <si>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</si>
  <si>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</si>
  <si>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</si>
  <si>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</si>
  <si>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</si>
  <si>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</si>
  <si>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</si>
  <si>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</si>
  <si>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</si>
  <si>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</si>
  <si>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</si>
  <si>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</si>
  <si>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</si>
  <si>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</si>
  <si>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</si>
  <si>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</si>
  <si>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</si>
  <si>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</si>
  <si>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</si>
  <si>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</si>
  <si>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</si>
  <si>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</si>
  <si>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</si>
  <si>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</si>
  <si>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</si>
  <si>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</si>
  <si>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</si>
  <si>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</si>
  <si>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</si>
  <si>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</si>
  <si>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</si>
  <si>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</si>
  <si>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</si>
  <si>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</si>
  <si>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</si>
  <si>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</si>
  <si>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</si>
  <si>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</si>
  <si>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</si>
  <si>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</si>
  <si>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</si>
  <si>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</si>
  <si>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</si>
  <si>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</si>
  <si>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</si>
  <si>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</si>
  <si>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</si>
  <si>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</si>
  <si>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</si>
  <si>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</si>
  <si>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</si>
  <si>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</si>
  <si>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</si>
  <si>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</si>
  <si>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</si>
  <si>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</si>
  <si>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</si>
  <si>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</si>
  <si>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</si>
  <si>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</si>
  <si>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</si>
  <si>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</si>
  <si>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</si>
  <si>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</si>
  <si>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</si>
  <si>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</si>
  <si>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</si>
  <si>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</si>
  <si>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</si>
  <si>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</si>
  <si>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</si>
  <si>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</si>
  <si>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</si>
  <si>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</si>
  <si>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</si>
  <si>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</si>
  <si>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</si>
  <si>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</si>
  <si>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</si>
  <si>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</si>
  <si>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</si>
  <si>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</si>
  <si>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</si>
  <si>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</si>
  <si>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</si>
  <si>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</si>
  <si>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</si>
  <si>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</si>
  <si>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</si>
  <si>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</si>
  <si>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</si>
  <si>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</si>
  <si>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</si>
  <si>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</si>
  <si>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</si>
  <si>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</si>
  <si>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</si>
  <si>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</si>
  <si>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</si>
  <si>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</si>
  <si>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</si>
  <si>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</si>
  <si>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</si>
  <si>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</si>
  <si>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</si>
  <si>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</si>
  <si>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</si>
  <si>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</si>
  <si>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</si>
  <si>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</si>
  <si>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</si>
  <si>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</si>
  <si>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</si>
  <si>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</si>
  <si>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</si>
  <si>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</si>
  <si>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</si>
  <si>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</si>
  <si>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</si>
  <si>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</si>
  <si>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</si>
  <si>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</si>
  <si>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</si>
  <si>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</si>
  <si>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</si>
  <si>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</si>
  <si>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</si>
  <si>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</si>
  <si>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</si>
  <si>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</si>
  <si>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</si>
  <si>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</si>
  <si>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</si>
  <si>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</si>
  <si>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</si>
  <si>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</si>
  <si>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</si>
  <si>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</si>
  <si>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</si>
  <si>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</si>
  <si>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</si>
  <si>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</si>
  <si>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</si>
  <si>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</si>
  <si>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</si>
  <si>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</si>
  <si>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</si>
  <si>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</si>
  <si>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</si>
  <si>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</si>
  <si>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</si>
  <si>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</si>
  <si>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</si>
  <si>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</si>
  <si>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</si>
  <si>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</si>
  <si>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</si>
  <si>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</si>
  <si>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</si>
  <si>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</si>
  <si>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</si>
  <si>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</si>
  <si>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</si>
  <si>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</si>
  <si>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</si>
  <si>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</si>
  <si>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</si>
  <si>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</si>
  <si>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</si>
  <si>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</si>
  <si>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</si>
  <si>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</si>
  <si>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</si>
  <si>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</si>
  <si>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</si>
  <si>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</si>
  <si>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</si>
  <si>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</si>
  <si>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</si>
  <si>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</si>
  <si>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</si>
  <si>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</si>
  <si>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</si>
  <si>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</si>
  <si>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</si>
  <si>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</si>
  <si>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</si>
  <si>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</si>
  <si>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</si>
  <si>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</si>
  <si>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</si>
  <si>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</si>
  <si>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</si>
  <si>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</si>
  <si>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</si>
  <si>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</si>
  <si>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</si>
  <si>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</si>
  <si>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</si>
  <si>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</si>
  <si>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</si>
  <si>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</si>
  <si>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</si>
  <si>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</si>
  <si>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</si>
  <si>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</si>
  <si>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</si>
  <si>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</si>
  <si>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</si>
  <si>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</si>
  <si>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</si>
  <si>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</si>
  <si>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</si>
  <si>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</si>
  <si>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</si>
  <si>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</si>
  <si>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</si>
  <si>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</si>
  <si>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</si>
  <si>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</si>
  <si>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</si>
  <si>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</si>
  <si>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</si>
  <si>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</si>
  <si>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</si>
  <si>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</si>
  <si>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</si>
  <si>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</si>
  <si>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</si>
  <si>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</si>
  <si>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</si>
  <si>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</si>
  <si>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</si>
  <si>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</si>
  <si>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</si>
  <si>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</si>
  <si>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</si>
  <si>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</si>
  <si>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</si>
  <si>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</si>
  <si>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</si>
  <si>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</si>
  <si>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</si>
  <si>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</si>
  <si>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</si>
  <si>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</si>
  <si>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</si>
  <si>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</si>
  <si>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</si>
  <si>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</si>
  <si>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</si>
  <si>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</si>
  <si>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</si>
  <si>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</si>
  <si>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</si>
  <si>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</si>
  <si>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</si>
  <si>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</si>
  <si>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</si>
  <si>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</si>
  <si>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</si>
  <si>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</si>
  <si>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</si>
  <si>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</si>
  <si>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</si>
  <si>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</si>
  <si>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</si>
  <si>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</si>
  <si>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</si>
  <si>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</si>
  <si>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</si>
  <si>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</si>
  <si>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</si>
  <si>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</si>
  <si>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</si>
  <si>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</si>
  <si>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</si>
  <si>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</si>
  <si>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</si>
  <si>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</si>
  <si>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</si>
  <si>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</si>
  <si>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</si>
  <si>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</si>
  <si>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</si>
  <si>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</si>
  <si>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</si>
  <si>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</si>
  <si>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</si>
  <si>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</si>
  <si>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</si>
  <si>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</si>
  <si>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</si>
  <si>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</si>
  <si>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</si>
  <si>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</si>
  <si>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</si>
  <si>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</si>
  <si>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</si>
  <si>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</si>
  <si>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</si>
  <si>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</si>
  <si>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</si>
  <si>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</si>
  <si>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</si>
  <si>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</si>
  <si>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</si>
  <si>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</si>
  <si>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</si>
  <si>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</si>
  <si>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</si>
  <si>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</si>
  <si>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</si>
  <si>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</si>
  <si>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</si>
  <si>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</si>
  <si>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</si>
  <si>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</si>
  <si>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</si>
  <si>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</si>
  <si>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</si>
  <si>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</si>
  <si>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</si>
  <si>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</si>
  <si>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</si>
  <si>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</si>
  <si>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</si>
  <si>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</si>
  <si>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</si>
  <si>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</si>
  <si>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</si>
  <si>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</si>
  <si>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</si>
  <si>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</si>
  <si>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</si>
  <si>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</si>
  <si>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</si>
  <si>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</si>
  <si>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</si>
  <si>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</si>
  <si>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</si>
  <si>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</si>
  <si>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</si>
  <si>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</si>
  <si>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</si>
  <si>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</si>
  <si>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</si>
  <si>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</si>
  <si>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</si>
  <si>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</si>
  <si>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</si>
  <si>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</si>
  <si>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</si>
  <si>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</si>
  <si>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</si>
  <si>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</si>
  <si>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</si>
  <si>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</si>
  <si>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</si>
  <si>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</si>
  <si>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</si>
  <si>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</si>
  <si>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</si>
  <si>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</si>
  <si>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</si>
  <si>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</si>
  <si>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</si>
  <si>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</si>
  <si>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</si>
  <si>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</si>
  <si>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</si>
  <si>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</si>
  <si>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</si>
  <si>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</si>
  <si>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</si>
  <si>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</si>
  <si>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</si>
  <si>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</si>
  <si>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</si>
  <si>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</si>
  <si>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</si>
  <si>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</si>
  <si>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</si>
  <si>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</si>
  <si>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</si>
  <si>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</si>
  <si>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</si>
  <si>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</si>
  <si>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</si>
  <si>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</si>
  <si>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</si>
  <si>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</si>
  <si>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</si>
  <si>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</si>
  <si>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</si>
  <si>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</si>
  <si>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</si>
  <si>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</si>
  <si>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</si>
  <si>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</si>
  <si>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</si>
  <si>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</si>
  <si>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</si>
  <si>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</si>
  <si>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</si>
  <si>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</si>
  <si>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</si>
  <si>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</si>
  <si>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</si>
  <si>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</si>
  <si>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</si>
  <si>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</si>
  <si>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</si>
  <si>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</si>
  <si>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</si>
  <si>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</si>
  <si>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</si>
  <si>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</si>
  <si>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</si>
  <si>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</si>
  <si>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</si>
  <si>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</si>
  <si>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</si>
  <si>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</si>
  <si>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</si>
  <si>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</si>
  <si>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</si>
  <si>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</si>
  <si>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</si>
  <si>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</si>
  <si>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</si>
  <si>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</si>
  <si>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</si>
  <si>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</si>
  <si>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</si>
  <si>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</si>
  <si>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</si>
  <si>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</si>
  <si>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</si>
  <si>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</si>
  <si>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</si>
  <si>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</si>
  <si>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</si>
  <si>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</si>
  <si>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</si>
  <si>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</si>
  <si>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</si>
  <si>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</si>
  <si>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</si>
  <si>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</si>
  <si>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</si>
  <si>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</si>
  <si>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</si>
  <si>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</si>
  <si>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</si>
  <si>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</si>
  <si>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</si>
  <si>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</si>
  <si>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</si>
  <si>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</si>
  <si>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</si>
  <si>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</si>
  <si>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</si>
  <si>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</si>
  <si>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</si>
  <si>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</si>
  <si>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</si>
  <si>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</si>
  <si>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</si>
  <si>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</si>
  <si>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</si>
  <si>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</si>
  <si>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</si>
  <si>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</si>
  <si>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</si>
  <si>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</si>
  <si>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</si>
  <si>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</si>
  <si>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</si>
  <si>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</si>
  <si>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</si>
  <si>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</si>
  <si>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</si>
  <si>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</si>
  <si>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</si>
  <si>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</si>
  <si>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</si>
  <si>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</si>
  <si>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</si>
  <si>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</si>
  <si>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</si>
  <si>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</si>
  <si>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</si>
  <si>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</si>
  <si>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</si>
  <si>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</si>
  <si>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</si>
  <si>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</si>
  <si>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</si>
  <si>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</si>
  <si>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</si>
  <si>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</si>
  <si>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</si>
  <si>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</si>
  <si>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</si>
  <si>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</si>
  <si>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</si>
  <si>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</si>
  <si>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</si>
  <si>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</si>
  <si>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</si>
  <si>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</si>
  <si>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</si>
  <si>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</si>
  <si>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</si>
  <si>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</si>
  <si>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</si>
  <si>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</si>
  <si>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</si>
  <si>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</si>
  <si>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</si>
  <si>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</si>
  <si>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</si>
  <si>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</si>
  <si>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</si>
  <si>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</si>
  <si>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</si>
  <si>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</si>
  <si>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</si>
  <si>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</si>
  <si>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</si>
  <si>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</si>
  <si>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</si>
  <si>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</si>
  <si>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</si>
  <si>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</si>
  <si>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</si>
  <si>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</si>
  <si>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</si>
  <si>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</si>
  <si>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</si>
  <si>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</si>
  <si>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</si>
  <si>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</si>
  <si>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</si>
  <si>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</si>
  <si>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</si>
  <si>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</si>
  <si>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</si>
  <si>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</si>
  <si>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</si>
  <si>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</si>
  <si>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</si>
  <si>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</si>
  <si>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</si>
  <si>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</si>
  <si>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</si>
  <si>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</si>
  <si>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</si>
  <si>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</si>
  <si>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</si>
  <si>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</si>
  <si>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</si>
  <si>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</si>
  <si>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</si>
  <si>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</si>
  <si>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</si>
  <si>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</si>
  <si>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</si>
  <si>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</si>
  <si>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</si>
  <si>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</si>
  <si>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</si>
  <si>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</si>
  <si>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</si>
  <si>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</si>
  <si>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</si>
  <si>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</si>
  <si>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</si>
  <si>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</si>
  <si>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</si>
  <si>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</si>
  <si>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</si>
  <si>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</si>
  <si>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</si>
  <si>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</si>
  <si>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</si>
  <si>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</si>
  <si>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</si>
  <si>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</si>
  <si>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</si>
  <si>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</si>
  <si>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</si>
  <si>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</si>
  <si>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</si>
  <si>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</si>
  <si>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</si>
  <si>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</si>
  <si>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</si>
  <si>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</si>
  <si>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</si>
  <si>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</si>
  <si>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</si>
  <si>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</si>
  <si>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</si>
  <si>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</si>
  <si>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</si>
  <si>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</si>
  <si>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</si>
  <si>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</si>
  <si>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</si>
  <si>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</si>
  <si>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</si>
  <si>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</si>
  <si>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</si>
  <si>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</si>
  <si>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</si>
  <si>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</si>
  <si>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</si>
  <si>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</si>
  <si>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</si>
  <si>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</si>
  <si>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</si>
  <si>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</si>
  <si>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</si>
  <si>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</si>
  <si>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</si>
  <si>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</si>
  <si>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</si>
  <si>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</si>
  <si>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</si>
  <si>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</si>
  <si>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</si>
  <si>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</si>
  <si>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</si>
  <si>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</si>
  <si>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</si>
  <si>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</si>
  <si>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</si>
  <si>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</si>
  <si>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</si>
  <si>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</si>
  <si>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</si>
  <si>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</si>
  <si>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</si>
  <si>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</si>
  <si>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</si>
  <si>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</si>
  <si>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</si>
  <si>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</si>
  <si>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</si>
  <si>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</si>
  <si>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</si>
  <si>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</si>
  <si>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</si>
  <si>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</si>
  <si>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</si>
  <si>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</si>
  <si>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</si>
  <si>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</si>
  <si>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Business Hospitality</t>
  </si>
  <si>
    <t>Promotons-PR</t>
  </si>
  <si>
    <t xml:space="preserve">Credit hours were base on 19-20 levels due to the pandemic and an </t>
  </si>
  <si>
    <t>increased was built in due to the new Gulf Coast Promise Scholar-</t>
  </si>
  <si>
    <t>ship program for graduating seniors in our service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</si>
</sst>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4" zoomScale="80" zoomScaleNormal="80" zoomScalePageLayoutView="80" workbookViewId="0">
      <selection activeCell="C13" sqref="C13"/>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Gulf Coast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783</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14859291</v>
      </c>
      <c r="C10" s="580">
        <v>868007</v>
      </c>
      <c r="D10" s="580">
        <f>2500+103000</f>
        <v>105500</v>
      </c>
      <c r="E10" s="483">
        <f>SUM(B10:D10)</f>
        <v>15832798</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98858</v>
      </c>
      <c r="C12" s="570">
        <v>39500</v>
      </c>
      <c r="D12" s="570">
        <v>0</v>
      </c>
      <c r="E12" s="484">
        <f>SUM(B12:D12)</f>
        <v>138358</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1622051</v>
      </c>
      <c r="C14" s="582">
        <f>544781-C15</f>
        <v>274416</v>
      </c>
      <c r="D14" s="582">
        <f>201000+425685</f>
        <v>626685</v>
      </c>
      <c r="E14" s="484">
        <f t="shared" ref="E14:E20" si="0">SUM(B14:D14)</f>
        <v>2523152</v>
      </c>
      <c r="F14" s="460"/>
    </row>
    <row r="15" spans="1:8" s="37" customFormat="1" ht="20.100000000000001" customHeight="1">
      <c r="A15" s="482" t="s">
        <v>637</v>
      </c>
      <c r="B15" s="581">
        <v>0</v>
      </c>
      <c r="C15" s="570">
        <v>270365</v>
      </c>
      <c r="D15" s="570">
        <v>0</v>
      </c>
      <c r="E15" s="484">
        <f>SUM(B15:D15)</f>
        <v>270365</v>
      </c>
      <c r="F15" s="460"/>
    </row>
    <row r="16" spans="1:8" s="37" customFormat="1" ht="20.100000000000001" customHeight="1">
      <c r="A16" s="482" t="s">
        <v>638</v>
      </c>
      <c r="B16" s="581">
        <v>2441419</v>
      </c>
      <c r="C16" s="570">
        <v>219173</v>
      </c>
      <c r="D16" s="570">
        <v>0</v>
      </c>
      <c r="E16" s="484">
        <f t="shared" si="0"/>
        <v>2660592</v>
      </c>
      <c r="F16" s="460"/>
    </row>
    <row r="17" spans="1:6" s="37" customFormat="1" ht="20.100000000000001" customHeight="1">
      <c r="A17" s="482" t="s">
        <v>639</v>
      </c>
      <c r="B17" s="581">
        <v>4354954</v>
      </c>
      <c r="C17" s="570">
        <v>2319633</v>
      </c>
      <c r="D17" s="570">
        <f>269390+115500+82675+5600</f>
        <v>473165</v>
      </c>
      <c r="E17" s="484">
        <f t="shared" si="0"/>
        <v>7147752</v>
      </c>
      <c r="F17" s="460"/>
    </row>
    <row r="18" spans="1:6" s="37" customFormat="1" ht="20.100000000000001" customHeight="1">
      <c r="A18" s="482" t="s">
        <v>640</v>
      </c>
      <c r="B18" s="581">
        <v>1787405</v>
      </c>
      <c r="C18" s="570">
        <v>2701717</v>
      </c>
      <c r="D18" s="570">
        <v>50000</v>
      </c>
      <c r="E18" s="484">
        <f t="shared" si="0"/>
        <v>4539122</v>
      </c>
      <c r="F18" s="460"/>
    </row>
    <row r="19" spans="1:6" s="37" customFormat="1" ht="20.100000000000001" customHeight="1">
      <c r="A19" s="482" t="s">
        <v>641</v>
      </c>
      <c r="B19" s="581">
        <v>150000</v>
      </c>
      <c r="C19" s="570">
        <v>0</v>
      </c>
      <c r="D19" s="570">
        <v>0</v>
      </c>
      <c r="E19" s="484">
        <f t="shared" si="0"/>
        <v>150000</v>
      </c>
      <c r="F19" s="460"/>
    </row>
    <row r="20" spans="1:6" s="37" customFormat="1" ht="20.100000000000001" customHeight="1" thickBot="1">
      <c r="A20" s="482" t="s">
        <v>642</v>
      </c>
      <c r="B20" s="581">
        <v>100000</v>
      </c>
      <c r="C20" s="571">
        <v>383614</v>
      </c>
      <c r="D20" s="571">
        <v>100000</v>
      </c>
      <c r="E20" s="484">
        <f t="shared" si="0"/>
        <v>583614</v>
      </c>
      <c r="F20" s="460"/>
    </row>
    <row r="21" spans="1:6" s="37" customFormat="1" ht="24" customHeight="1" thickBot="1">
      <c r="A21" s="380" t="s">
        <v>50</v>
      </c>
      <c r="B21" s="461">
        <f>SUM(B10:B20)</f>
        <v>25413978</v>
      </c>
      <c r="C21" s="464">
        <f>SUM(C10:C20)</f>
        <v>7076425</v>
      </c>
      <c r="D21" s="464">
        <f>SUM(D10:D20)</f>
        <v>1355350</v>
      </c>
      <c r="E21" s="463">
        <f>SUM(E10:E20)</f>
        <v>33845753</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14" zoomScale="60" zoomScaleNormal="60" zoomScaleSheetLayoutView="50" zoomScalePageLayoutView="60" workbookViewId="0">
      <selection activeCell="D132" sqref="D132"/>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Gulf Coast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783</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743</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321427</v>
      </c>
      <c r="E15" s="938">
        <v>0</v>
      </c>
      <c r="F15" s="939">
        <f t="shared" si="0"/>
        <v>321427</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9981</v>
      </c>
      <c r="E30" s="938">
        <v>0</v>
      </c>
      <c r="F30" s="939">
        <f t="shared" si="0"/>
        <v>9981</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20548+4804</f>
        <v>25352</v>
      </c>
      <c r="E48" s="938">
        <v>0</v>
      </c>
      <c r="F48" s="939">
        <f t="shared" si="0"/>
        <v>25352</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26247</v>
      </c>
      <c r="E49" s="938">
        <v>0</v>
      </c>
      <c r="F49" s="939">
        <f t="shared" si="0"/>
        <v>26247</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0</v>
      </c>
      <c r="E54" s="938">
        <v>0</v>
      </c>
      <c r="F54" s="939">
        <f t="shared" si="0"/>
        <v>0</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383007</v>
      </c>
      <c r="E57" s="349">
        <f>SUM(E10:E56)</f>
        <v>0</v>
      </c>
      <c r="F57" s="349">
        <f t="shared" si="0"/>
        <v>383007</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34</v>
      </c>
      <c r="E64" s="583">
        <v>0</v>
      </c>
      <c r="F64" s="307">
        <f t="shared" si="0"/>
        <v>34</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40</v>
      </c>
      <c r="E65" s="938">
        <v>0</v>
      </c>
      <c r="F65" s="939">
        <f t="shared" si="0"/>
        <v>40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200</v>
      </c>
      <c r="E67" s="938">
        <v>0</v>
      </c>
      <c r="F67" s="939">
        <f t="shared" si="0"/>
        <v>200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426</v>
      </c>
      <c r="E70" s="938">
        <v>0</v>
      </c>
      <c r="F70" s="939">
        <f t="shared" si="0"/>
        <v>426</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219</v>
      </c>
      <c r="E79" s="938">
        <v>0</v>
      </c>
      <c r="F79" s="939">
        <f t="shared" si="0"/>
        <v>219</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2697</v>
      </c>
      <c r="E82" s="938">
        <v>0</v>
      </c>
      <c r="F82" s="939">
        <f t="shared" si="1"/>
        <v>2697</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f>5665+1175</f>
        <v>6840</v>
      </c>
      <c r="E83" s="938">
        <v>0</v>
      </c>
      <c r="F83" s="939">
        <f t="shared" si="1"/>
        <v>6840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500</v>
      </c>
      <c r="E86" s="938">
        <v>0</v>
      </c>
      <c r="F86" s="939">
        <f t="shared" si="1"/>
        <v>500</v>
      </c>
      <c r="G86" s="308"/>
      <c r="H86" s="308"/>
      <c r="I86" s="308"/>
      <c r="J86" s="308"/>
      <c r="K86" s="308"/>
      <c r="L86" s="308"/>
      <c r="M86" s="308"/>
      <c r="N86" s="308"/>
      <c r="O86" s="308"/>
      <c r="P86" s="308"/>
      <c r="Q86" s="308"/>
    </row>
    <row r="87" spans="1:21" s="311" customFormat="1" ht="30" customHeight="1">
      <c r="A87" s="935" t="s">
        <v>562</v>
      </c>
      <c r="B87" s="936"/>
      <c r="C87" s="945" t="s">
        <v>563</v>
      </c>
      <c r="D87" s="938">
        <v>500</v>
      </c>
      <c r="E87" s="938">
        <v>0</v>
      </c>
      <c r="F87" s="939">
        <f t="shared" ref="F87:F92" si="2">+D87+E87</f>
        <v>500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11456</v>
      </c>
      <c r="E102" s="345">
        <f>SUM(E64:E101)</f>
        <v>0</v>
      </c>
      <c r="F102" s="345">
        <f t="shared" si="1"/>
        <v>11456</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791</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394463</v>
      </c>
      <c r="E120" s="345">
        <f>+E57+E102+E118</f>
        <v>0</v>
      </c>
      <c r="F120" s="345">
        <f>SUM(D120:E120)</f>
        <v>394463</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363213</v>
      </c>
      <c r="E125" s="938">
        <v>0</v>
      </c>
      <c r="F125" s="939">
        <f t="shared" ref="F125:F135" si="3">+D125+E125</f>
        <v>363213</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1311</v>
      </c>
      <c r="E126" s="938">
        <v>0</v>
      </c>
      <c r="F126" s="939">
        <f t="shared" si="3"/>
        <v>1311</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784</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29939</v>
      </c>
      <c r="E131" s="938">
        <v>0</v>
      </c>
      <c r="F131" s="939">
        <f t="shared" si="3"/>
        <v>29939</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394463</v>
      </c>
      <c r="E136" s="337">
        <f>SUM(E124:E135)</f>
        <v>0</v>
      </c>
      <c r="F136" s="338">
        <f>SUM(F124:F135)</f>
        <v>394463</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73"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785</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13"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786</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opLeftCell="A4"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topLeftCell="A7"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85" t="s">
        <v>788</v>
      </c>
      <c r="C5" s="1286"/>
      <c r="D5" s="1287"/>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5" customHeight="1">
      <c r="A37" s="1308" t="s">
        <v>750</v>
      </c>
      <c r="B37" s="1308"/>
      <c r="C37" s="1308"/>
      <c r="D37" s="1308"/>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6" t="s">
        <v>761</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754</v>
      </c>
      <c r="C48" s="1185"/>
      <c r="D48" s="1185">
        <v>1000000</v>
      </c>
      <c r="E48" s="793">
        <f t="shared" ref="E48:E51" si="2">C48+D48</f>
        <v>1000000</v>
      </c>
      <c r="H48" s="24"/>
    </row>
    <row r="49" spans="1:8" ht="42">
      <c r="A49" s="1191" t="s">
        <v>43</v>
      </c>
      <c r="B49" s="794" t="s">
        <v>755</v>
      </c>
      <c r="C49" s="792"/>
      <c r="D49" s="792">
        <v>510000</v>
      </c>
      <c r="E49" s="793">
        <f t="shared" si="2"/>
        <v>510000</v>
      </c>
      <c r="H49" s="24"/>
    </row>
    <row r="50" spans="1:8" ht="42">
      <c r="A50" s="1191" t="s">
        <v>43</v>
      </c>
      <c r="B50" s="794" t="s">
        <v>756</v>
      </c>
      <c r="C50" s="792"/>
      <c r="D50" s="792">
        <v>674484</v>
      </c>
      <c r="E50" s="793">
        <f t="shared" si="2"/>
        <v>674484</v>
      </c>
      <c r="H50" s="24"/>
    </row>
    <row r="51" spans="1:8" ht="42">
      <c r="A51" s="1191" t="s">
        <v>759</v>
      </c>
      <c r="B51" s="794" t="s">
        <v>757</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760</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758</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301" t="s">
        <v>762</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305" t="str">
        <f>B3</f>
        <v>Date Updated:   05.5.21    BY:  EN</v>
      </c>
      <c r="C69" s="1306"/>
      <c r="D69" s="1306"/>
      <c r="E69" s="1307"/>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767</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3"/>
      <c r="F107" s="603"/>
      <c r="G107" s="603"/>
      <c r="H107" s="27"/>
      <c r="I107" s="27"/>
      <c r="J107" s="27"/>
      <c r="K107" s="27"/>
    </row>
    <row r="108" spans="1:54" ht="43.35" customHeight="1" thickBot="1">
      <c r="A108" s="58" t="s">
        <v>763</v>
      </c>
      <c r="B108" s="1276" t="s">
        <v>766</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320"/>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765</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36" colorId="22" zoomScale="70" zoomScaleNormal="70" zoomScaleSheetLayoutView="51" zoomScalePageLayoutView="60" workbookViewId="0">
      <selection activeCell="D60" sqref="D60"/>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742</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29</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789</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5.0032482725677528E-2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3810</v>
      </c>
      <c r="E44" s="140">
        <f>+'EXHIBIT C'!F10</f>
        <v>3957</v>
      </c>
      <c r="F44" s="141">
        <f t="shared" ref="F44:F50" si="0">IF(D44=0,"0",(E44/D44-1))</f>
        <v>3.8582677165354351E-2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55007.935570122492</v>
      </c>
      <c r="E45" s="144">
        <f>+'EXHIBIT C'!F11</f>
        <v>56850</v>
      </c>
      <c r="F45" s="823">
        <f t="shared" si="0"/>
        <v>3.3487248899375599E-2</v>
      </c>
      <c r="G45" s="824"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15234.036300777872</v>
      </c>
      <c r="E46" s="827">
        <f>+'EXHIBIT C'!F12</f>
        <v>15852</v>
      </c>
      <c r="F46" s="823">
        <f t="shared" si="0"/>
        <v>4.0564672882561936E-2</v>
      </c>
      <c r="G46" s="824"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4409.2258064516127</v>
      </c>
      <c r="E47" s="827">
        <f>+'EXHIBIT C'!F13</f>
        <v>4555</v>
      </c>
      <c r="F47" s="823">
        <f t="shared" si="0"/>
        <v>3.3061176711587148E-2</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842.54587155963304</v>
      </c>
      <c r="E48" s="827">
        <f>+'EXHIBIT C'!F14</f>
        <v>875</v>
      </c>
      <c r="F48" s="823">
        <f t="shared" si="0"/>
        <v>3.8519123451749016E-2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79303.743548911603</v>
      </c>
      <c r="E50" s="147">
        <f>+'EXHIBIT C'!F17</f>
        <v>82089</v>
      </c>
      <c r="F50" s="148">
        <f t="shared" si="0"/>
        <v>3.5121374180407505E-2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t="s">
        <v>10</v>
      </c>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t="s">
        <v>794</v>
      </c>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t="s">
        <v>795</v>
      </c>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t="s">
        <v>796</v>
      </c>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3</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2668.2003622563393</v>
      </c>
      <c r="E69" s="161">
        <f>+'EXHIBIT C'!D20</f>
        <v>2888</v>
      </c>
      <c r="F69" s="834">
        <f t="shared" si="2"/>
        <v>8.2377485908812664E-2</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667.71650821089031</v>
      </c>
      <c r="E70" s="837">
        <f>+'EXHIBIT C'!D21</f>
        <v>732</v>
      </c>
      <c r="F70" s="834">
        <f t="shared" si="2"/>
        <v>9.6273629599713972E-2</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150.77419354838705</v>
      </c>
      <c r="E71" s="837">
        <f>+'EXHIBIT C'!D22</f>
        <v>160</v>
      </c>
      <c r="F71" s="834">
        <f t="shared" si="2"/>
        <v>6.1189559264014148E-2</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87.454128440366972</v>
      </c>
      <c r="E72" s="837">
        <f>+'EXHIBIT C'!D23</f>
        <v>94</v>
      </c>
      <c r="F72" s="834">
        <f t="shared" si="2"/>
        <v>7.4849200104904368E-2</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3574.1451924559838</v>
      </c>
      <c r="E74" s="163">
        <f>SUM(E68:E73)</f>
        <v>3877</v>
      </c>
      <c r="F74" s="164">
        <f t="shared" si="2"/>
        <v>8.4734892187160682E-2</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25" t="s">
        <v>794</v>
      </c>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25" t="s">
        <v>795</v>
      </c>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25" t="s">
        <v>796</v>
      </c>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20724248</v>
      </c>
      <c r="E102" s="846">
        <f>+'EXHIBIT D'!G75</f>
        <v>20724248</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0</v>
      </c>
      <c r="E103" s="846">
        <f>'EXHIBIT D'!G77</f>
        <v>0</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3791300</v>
      </c>
      <c r="E104" s="846">
        <f>'EXHIBIT D'!G81</f>
        <v>3791300</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24515548</v>
      </c>
      <c r="E106" s="179">
        <f t="shared" ref="E106:F106" si="4">SUM(E102:E104)</f>
        <v>24515548</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748</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1955000</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1955000</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3273862</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3373862</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-100000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100000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91.789992418498869</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437</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disablePrompts="1"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51" sqref="E5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769</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Gulf Coast State College</v>
      </c>
      <c r="D8" s="1053"/>
      <c r="E8" s="1053"/>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v>1955000</v>
      </c>
    </row>
    <row r="14" spans="2:7" ht="25.35" customHeight="1">
      <c r="B14" s="37" t="s">
        <v>196</v>
      </c>
      <c r="D14" s="114"/>
      <c r="E14" s="723">
        <v>3273862</v>
      </c>
    </row>
    <row r="15" spans="2:7" ht="25.35" customHeight="1">
      <c r="B15" s="114"/>
      <c r="C15" s="24"/>
      <c r="D15" s="114"/>
      <c r="E15" s="203"/>
    </row>
    <row r="16" spans="2:7" ht="25.35" customHeight="1">
      <c r="B16" s="24" t="s">
        <v>771</v>
      </c>
      <c r="C16" s="114"/>
      <c r="D16" s="35"/>
      <c r="E16" s="724">
        <f>+E14+E13</f>
        <v>5228862</v>
      </c>
    </row>
    <row r="17" spans="2:7" ht="25.35" customHeight="1">
      <c r="B17" s="114"/>
      <c r="C17" s="35"/>
      <c r="D17" s="114"/>
      <c r="E17" s="204"/>
    </row>
    <row r="18" spans="2:7" ht="25.35" customHeight="1">
      <c r="B18" s="37" t="s">
        <v>197</v>
      </c>
      <c r="C18" s="114"/>
      <c r="D18" s="114"/>
      <c r="E18" s="216">
        <f>+'EXHIBIT D'!G143-SUM(+'EXHIBIT D'!G132+'EXHIBIT D'!G133+'EXHIBIT D'!G134+'EXHIBIT D'!G135)</f>
        <v>33791946</v>
      </c>
      <c r="G18" s="205"/>
    </row>
    <row r="19" spans="2:7" ht="25.35" customHeight="1">
      <c r="B19" s="37" t="s">
        <v>198</v>
      </c>
      <c r="D19" s="114"/>
      <c r="E19" s="724">
        <f>+'EXHIBIT D'!G132+'EXHIBIT D'!G133+'EXHIBIT D'!G134+'EXHIBIT D'!G135</f>
        <v>53807</v>
      </c>
    </row>
    <row r="20" spans="2:7" ht="25.35" customHeight="1">
      <c r="B20" s="114"/>
      <c r="D20" s="114"/>
      <c r="E20" s="211"/>
    </row>
    <row r="21" spans="2:7" ht="25.35" customHeight="1">
      <c r="B21" s="37" t="s">
        <v>199</v>
      </c>
      <c r="C21" s="114"/>
      <c r="D21" s="114"/>
      <c r="E21" s="725">
        <f>+E19+E18</f>
        <v>33845753</v>
      </c>
    </row>
    <row r="22" spans="2:7" ht="25.35" customHeight="1">
      <c r="B22" s="114"/>
      <c r="C22" s="114"/>
      <c r="D22" s="114"/>
      <c r="E22" s="211"/>
    </row>
    <row r="23" spans="2:7" ht="25.35" customHeight="1">
      <c r="B23" s="114" t="s">
        <v>200</v>
      </c>
      <c r="C23" s="114"/>
      <c r="D23" s="114"/>
      <c r="E23" s="725">
        <f>+E21+E16</f>
        <v>39074615</v>
      </c>
    </row>
    <row r="24" spans="2:7" ht="25.35" customHeight="1">
      <c r="B24" s="114"/>
      <c r="C24" s="114"/>
      <c r="D24" s="114"/>
      <c r="E24" s="211"/>
    </row>
    <row r="25" spans="2:7" ht="25.35" customHeight="1">
      <c r="B25" s="37" t="s">
        <v>201</v>
      </c>
      <c r="C25" s="114"/>
      <c r="D25" s="114"/>
      <c r="E25" s="217">
        <f>'EXHIBIT D'!G256-SUM(+'EXHIBIT D'!G229+'EXHIBIT D'!G230+'EXHIBIT D'!G231+'EXHIBIT D'!G232+'EXHIBIT D'!G233)</f>
        <v>33845753</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33845753</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5228862</v>
      </c>
      <c r="E32" s="206"/>
    </row>
    <row r="33" spans="2:10" ht="25.35" customHeight="1">
      <c r="B33" s="24" t="s">
        <v>205</v>
      </c>
      <c r="C33" s="114"/>
      <c r="D33" s="727">
        <f>+'EXHIBIT D'!G187</f>
        <v>100000</v>
      </c>
      <c r="E33" s="206"/>
      <c r="J33" s="151"/>
    </row>
    <row r="34" spans="2:10" ht="25.35" customHeight="1">
      <c r="B34" s="114"/>
      <c r="D34" s="114"/>
      <c r="E34" s="206"/>
      <c r="J34" s="208"/>
    </row>
    <row r="35" spans="2:10" ht="25.35" customHeight="1">
      <c r="B35" s="37" t="s">
        <v>773</v>
      </c>
      <c r="C35" s="114"/>
      <c r="D35" s="114"/>
      <c r="E35" s="209">
        <f>+D32+D33</f>
        <v>5328862</v>
      </c>
      <c r="J35" s="151"/>
    </row>
    <row r="36" spans="2:10" ht="25.35" customHeight="1">
      <c r="B36" s="37" t="s">
        <v>774</v>
      </c>
      <c r="C36" s="114"/>
      <c r="D36" s="114"/>
      <c r="E36" s="725">
        <f>-'EXHIBIT D'!G272</f>
        <v>3373862</v>
      </c>
      <c r="J36" s="210"/>
    </row>
    <row r="37" spans="2:10" ht="25.35" customHeight="1">
      <c r="D37" s="114"/>
      <c r="E37" s="209"/>
      <c r="J37" s="151"/>
    </row>
    <row r="38" spans="2:10" ht="25.35" customHeight="1">
      <c r="B38" s="114" t="s">
        <v>775</v>
      </c>
      <c r="D38" s="114"/>
      <c r="E38" s="724">
        <f>+E35-E36</f>
        <v>1955000</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1955000</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5.0032482725677528E-2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I31" sqref="I31"/>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779</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Gulf Coast State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4.37</v>
      </c>
      <c r="D14" s="1215">
        <v>4.37</v>
      </c>
      <c r="E14" s="1215">
        <v>8.74</v>
      </c>
      <c r="F14" s="1215">
        <v>4.37</v>
      </c>
      <c r="G14" s="857">
        <f>SUM(B14:F14)</f>
        <v>113.64000000000001</v>
      </c>
      <c r="H14" s="477">
        <f>G14*30</f>
        <v>3409.2000000000003</v>
      </c>
      <c r="I14" s="24"/>
    </row>
    <row r="15" spans="1:18" s="37" customFormat="1" ht="20.100000000000001" customHeight="1">
      <c r="A15" s="114" t="s">
        <v>223</v>
      </c>
      <c r="B15" s="1216">
        <v>72.92</v>
      </c>
      <c r="C15" s="1216">
        <v>3.65</v>
      </c>
      <c r="D15" s="1216">
        <v>7.29</v>
      </c>
      <c r="E15" s="1216">
        <v>7.29</v>
      </c>
      <c r="F15" s="1216">
        <v>3.65</v>
      </c>
      <c r="G15" s="857">
        <f>SUM(B15:F15)</f>
        <v>94.800000000000026</v>
      </c>
      <c r="H15" s="440">
        <f>G15*30</f>
        <v>2844.0000000000009</v>
      </c>
      <c r="I15" s="24"/>
    </row>
    <row r="16" spans="1:18" s="37" customFormat="1" ht="20.100000000000001" customHeight="1" thickBot="1">
      <c r="A16" s="35" t="s">
        <v>87</v>
      </c>
      <c r="B16" s="1217">
        <v>69.930000000000007</v>
      </c>
      <c r="C16" s="1217">
        <v>6.99</v>
      </c>
      <c r="D16" s="1218"/>
      <c r="E16" s="1217">
        <v>3.5</v>
      </c>
      <c r="F16" s="1217">
        <v>3.5</v>
      </c>
      <c r="G16" s="441">
        <f>SUM(B16:F16)</f>
        <v>83.92</v>
      </c>
      <c r="H16" s="858">
        <f>G16*30</f>
        <v>2517.6</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436.86</v>
      </c>
      <c r="D29" s="1215">
        <v>26.21</v>
      </c>
      <c r="E29" s="680">
        <f>D14</f>
        <v>4.37</v>
      </c>
      <c r="F29" s="1215">
        <v>34.950000000000003</v>
      </c>
      <c r="G29" s="1215">
        <v>26.21</v>
      </c>
      <c r="H29" s="451">
        <f>SUM(B29:G29)</f>
        <v>620.3900000000001</v>
      </c>
      <c r="I29" s="471">
        <f>H29*30</f>
        <v>18611.700000000004</v>
      </c>
      <c r="J29" s="24"/>
    </row>
    <row r="30" spans="1:11" s="37" customFormat="1" ht="20.100000000000001" customHeight="1">
      <c r="A30" s="114" t="str">
        <f t="shared" si="0"/>
        <v>LOWER LEVEL - CREDIT (A &amp; P, PSV, DEVELOPMENTAL EDUCATION AND EPI)</v>
      </c>
      <c r="B30" s="861">
        <f t="shared" si="0"/>
        <v>72.92</v>
      </c>
      <c r="C30" s="1219">
        <v>221.42</v>
      </c>
      <c r="D30" s="1219">
        <v>14.72</v>
      </c>
      <c r="E30" s="862">
        <f>D15</f>
        <v>7.29</v>
      </c>
      <c r="F30" s="1219">
        <v>24.69</v>
      </c>
      <c r="G30" s="1219">
        <v>14.72</v>
      </c>
      <c r="H30" s="857">
        <f>SUM(B30:G30)</f>
        <v>355.76000000000005</v>
      </c>
      <c r="I30" s="440">
        <f>H30*30</f>
        <v>10672.800000000001</v>
      </c>
    </row>
    <row r="31" spans="1:11" s="37" customFormat="1" ht="20.100000000000001" customHeight="1" thickBot="1">
      <c r="A31" s="114" t="str">
        <f t="shared" si="0"/>
        <v>CAREER CERTIFICATE AND APPLIED TECHNOLOGY DIPLOMA</v>
      </c>
      <c r="B31" s="530">
        <f t="shared" si="0"/>
        <v>69.930000000000007</v>
      </c>
      <c r="C31" s="1216">
        <v>209.79</v>
      </c>
      <c r="D31" s="1216">
        <v>27.97</v>
      </c>
      <c r="E31" s="408"/>
      <c r="F31" s="1216">
        <v>13.99</v>
      </c>
      <c r="G31" s="1216">
        <v>13.99</v>
      </c>
      <c r="H31" s="441">
        <f>SUM(B31:G31)</f>
        <v>335.67000000000007</v>
      </c>
      <c r="I31" s="858">
        <f>H31*30</f>
        <v>10070.100000000002</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780</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4" zoomScale="50" zoomScaleNormal="50" zoomScaleSheetLayoutView="50" zoomScalePageLayoutView="50" workbookViewId="0">
      <selection activeCell="D13" sqref="D13"/>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781</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Gulf Coast State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3757+170+30</f>
        <v>3957</v>
      </c>
      <c r="E10" s="684">
        <v>0</v>
      </c>
      <c r="F10" s="685">
        <f t="shared" ref="F10:F15" si="0">+D10-E10</f>
        <v>3957</v>
      </c>
      <c r="G10" s="685">
        <f>'EXHIBIT B'!B14</f>
        <v>91.79</v>
      </c>
      <c r="H10" s="686">
        <f>ROUND(+F10*G10,0)</f>
        <v>363213</v>
      </c>
      <c r="I10" s="151"/>
      <c r="J10" s="151"/>
    </row>
    <row r="11" spans="1:10" ht="20.100000000000001" customHeight="1">
      <c r="A11" s="868" t="s">
        <v>216</v>
      </c>
      <c r="B11" s="868" t="s">
        <v>140</v>
      </c>
      <c r="C11" s="869" t="s">
        <v>244</v>
      </c>
      <c r="D11" s="867">
        <f>69250+100+100</f>
        <v>69450</v>
      </c>
      <c r="E11" s="867">
        <v>12600</v>
      </c>
      <c r="F11" s="870">
        <f t="shared" si="0"/>
        <v>56850</v>
      </c>
      <c r="G11" s="870">
        <f>+'EXHIBIT B'!B15</f>
        <v>72.92</v>
      </c>
      <c r="H11" s="871">
        <f t="shared" ref="H11:H15" si="1">ROUND(+F11*G11,0)</f>
        <v>4145502</v>
      </c>
      <c r="I11" s="151"/>
      <c r="J11" s="151"/>
    </row>
    <row r="12" spans="1:10" ht="20.100000000000001" customHeight="1">
      <c r="A12" s="868" t="s">
        <v>216</v>
      </c>
      <c r="B12" s="868" t="s">
        <v>141</v>
      </c>
      <c r="C12" s="869" t="s">
        <v>245</v>
      </c>
      <c r="D12" s="867">
        <f>16000-100-48</f>
        <v>15852</v>
      </c>
      <c r="E12" s="867">
        <v>0</v>
      </c>
      <c r="F12" s="870">
        <f t="shared" si="0"/>
        <v>15852</v>
      </c>
      <c r="G12" s="870">
        <f>+'EXHIBIT B'!B15</f>
        <v>72.92</v>
      </c>
      <c r="H12" s="871">
        <f t="shared" si="1"/>
        <v>1155928</v>
      </c>
      <c r="I12" s="151"/>
      <c r="J12" s="151"/>
    </row>
    <row r="13" spans="1:10" ht="20.100000000000001" customHeight="1">
      <c r="A13" s="868" t="s">
        <v>216</v>
      </c>
      <c r="B13" s="868" t="s">
        <v>87</v>
      </c>
      <c r="C13" s="869" t="s">
        <v>246</v>
      </c>
      <c r="D13" s="872">
        <f>4535+20</f>
        <v>4555</v>
      </c>
      <c r="E13" s="872">
        <v>0</v>
      </c>
      <c r="F13" s="870">
        <f t="shared" si="0"/>
        <v>4555</v>
      </c>
      <c r="G13" s="870">
        <f>+'EXHIBIT B'!B16</f>
        <v>69.930000000000007</v>
      </c>
      <c r="H13" s="871">
        <f t="shared" si="1"/>
        <v>318531</v>
      </c>
      <c r="I13" s="151"/>
      <c r="J13" s="151"/>
    </row>
    <row r="14" spans="1:10" ht="20.100000000000001" customHeight="1">
      <c r="A14" s="868" t="s">
        <v>216</v>
      </c>
      <c r="B14" s="868" t="s">
        <v>142</v>
      </c>
      <c r="C14" s="869" t="s">
        <v>247</v>
      </c>
      <c r="D14" s="867">
        <f>850+25</f>
        <v>875</v>
      </c>
      <c r="E14" s="867">
        <v>0</v>
      </c>
      <c r="F14" s="870">
        <f t="shared" si="0"/>
        <v>875</v>
      </c>
      <c r="G14" s="870">
        <f>+'EXHIBIT B'!B15</f>
        <v>72.92</v>
      </c>
      <c r="H14" s="871">
        <f t="shared" si="1"/>
        <v>63805</v>
      </c>
      <c r="I14" s="151"/>
      <c r="J14" s="151"/>
    </row>
    <row r="15" spans="1:10" ht="20.100000000000001" customHeight="1" thickBot="1">
      <c r="A15" s="873" t="s">
        <v>216</v>
      </c>
      <c r="B15" s="873" t="s">
        <v>143</v>
      </c>
      <c r="C15" s="874">
        <v>40160</v>
      </c>
      <c r="D15" s="875">
        <v>0</v>
      </c>
      <c r="E15" s="875">
        <v>0</v>
      </c>
      <c r="F15" s="876">
        <f t="shared" si="0"/>
        <v>0</v>
      </c>
      <c r="G15" s="876">
        <f>+'EXHIBIT B'!B15</f>
        <v>72.92</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94689</v>
      </c>
      <c r="E17" s="389">
        <f>SUM(E10:E15)</f>
        <v>12600</v>
      </c>
      <c r="F17" s="390">
        <f>SUM(F10:F15)</f>
        <v>82089</v>
      </c>
      <c r="G17" s="390"/>
      <c r="H17" s="391">
        <f>SUM(H10:H15)</f>
        <v>6046979</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3</v>
      </c>
      <c r="E19" s="880">
        <f>'EXHIBIT B'!C29</f>
        <v>436.86</v>
      </c>
      <c r="F19" s="881">
        <f t="shared" ref="F19:F24" si="2">ROUND(+D19*E19,0)</f>
        <v>1311</v>
      </c>
      <c r="G19" s="393"/>
      <c r="H19" s="393"/>
    </row>
    <row r="20" spans="1:10" ht="20.100000000000001" customHeight="1">
      <c r="A20" s="882" t="s">
        <v>231</v>
      </c>
      <c r="B20" s="882" t="s">
        <v>140</v>
      </c>
      <c r="C20" s="883" t="s">
        <v>251</v>
      </c>
      <c r="D20" s="890">
        <v>2888</v>
      </c>
      <c r="E20" s="884">
        <f>+'EXHIBIT B'!C30</f>
        <v>221.42</v>
      </c>
      <c r="F20" s="885">
        <f t="shared" si="2"/>
        <v>639461</v>
      </c>
      <c r="G20" s="394"/>
      <c r="H20" s="394"/>
    </row>
    <row r="21" spans="1:10" ht="20.100000000000001" customHeight="1">
      <c r="A21" s="882" t="s">
        <v>231</v>
      </c>
      <c r="B21" s="882" t="s">
        <v>141</v>
      </c>
      <c r="C21" s="883" t="s">
        <v>252</v>
      </c>
      <c r="D21" s="890">
        <v>732</v>
      </c>
      <c r="E21" s="884">
        <f>+'EXHIBIT B'!C30</f>
        <v>221.42</v>
      </c>
      <c r="F21" s="885">
        <f t="shared" si="2"/>
        <v>162079</v>
      </c>
      <c r="G21" s="394"/>
      <c r="H21" s="394"/>
    </row>
    <row r="22" spans="1:10" ht="20.100000000000001" customHeight="1">
      <c r="A22" s="882" t="s">
        <v>231</v>
      </c>
      <c r="B22" s="882" t="s">
        <v>87</v>
      </c>
      <c r="C22" s="883" t="s">
        <v>253</v>
      </c>
      <c r="D22" s="890">
        <f>105+55</f>
        <v>160</v>
      </c>
      <c r="E22" s="884">
        <f>+'EXHIBIT B'!C31</f>
        <v>209.79</v>
      </c>
      <c r="F22" s="885">
        <f t="shared" si="2"/>
        <v>33566</v>
      </c>
      <c r="G22" s="394"/>
      <c r="H22" s="394"/>
    </row>
    <row r="23" spans="1:10" ht="20.100000000000001" customHeight="1">
      <c r="A23" s="882" t="s">
        <v>231</v>
      </c>
      <c r="B23" s="882" t="s">
        <v>142</v>
      </c>
      <c r="C23" s="883" t="s">
        <v>254</v>
      </c>
      <c r="D23" s="890">
        <f>123-34+5</f>
        <v>94</v>
      </c>
      <c r="E23" s="884">
        <f>+'EXHIBIT B'!C30</f>
        <v>221.42</v>
      </c>
      <c r="F23" s="885">
        <f t="shared" si="2"/>
        <v>20813</v>
      </c>
      <c r="G23" s="394"/>
      <c r="H23" s="394"/>
    </row>
    <row r="24" spans="1:10" ht="20.100000000000001" customHeight="1" thickBot="1">
      <c r="A24" s="751" t="s">
        <v>231</v>
      </c>
      <c r="B24" s="751" t="s">
        <v>143</v>
      </c>
      <c r="C24" s="752">
        <v>40360</v>
      </c>
      <c r="D24" s="1221">
        <v>0</v>
      </c>
      <c r="E24" s="753">
        <f>+'EXHIBIT B'!C30</f>
        <v>221.42</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3877</v>
      </c>
      <c r="E26" s="888"/>
      <c r="F26" s="889">
        <f>SUM(F19:F24)</f>
        <v>857230</v>
      </c>
      <c r="G26" s="398"/>
      <c r="H26" s="398"/>
    </row>
    <row r="27" spans="1:10" ht="20.100000000000001" customHeight="1" thickBot="1">
      <c r="A27" s="399" t="s">
        <v>255</v>
      </c>
      <c r="B27" s="399"/>
      <c r="C27" s="399"/>
      <c r="D27" s="399"/>
      <c r="E27" s="399"/>
      <c r="F27" s="400"/>
      <c r="G27" s="687"/>
      <c r="H27" s="401">
        <f>H17+F26</f>
        <v>6904209</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6904209</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2">
        <v>0</v>
      </c>
      <c r="C54" s="1224"/>
      <c r="D54" s="1225"/>
      <c r="E54" s="1224"/>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23">
        <v>0</v>
      </c>
      <c r="C63" s="1224"/>
      <c r="D63" s="1225"/>
      <c r="E63" s="1224"/>
      <c r="F63" s="1225"/>
      <c r="I63" s="151"/>
    </row>
    <row r="64" spans="1:10" ht="24.95" customHeight="1">
      <c r="A64" s="897" t="s">
        <v>792</v>
      </c>
      <c r="B64" s="890">
        <v>3807</v>
      </c>
      <c r="C64" s="1226"/>
      <c r="D64" s="1227"/>
      <c r="E64" s="1226"/>
      <c r="F64" s="1227"/>
      <c r="I64" s="151"/>
    </row>
    <row r="65" spans="1:9" ht="24.95" customHeight="1">
      <c r="A65" s="897" t="s">
        <v>793</v>
      </c>
      <c r="B65" s="890">
        <v>50000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53807</v>
      </c>
      <c r="C69" s="1234"/>
      <c r="D69" s="1235"/>
      <c r="E69" s="1234"/>
      <c r="F69" s="1235"/>
    </row>
    <row r="70" spans="1:9" ht="24.95" customHeight="1" thickBot="1">
      <c r="A70" s="377" t="s">
        <v>281</v>
      </c>
      <c r="B70" s="378">
        <f>+B69+B60</f>
        <v>53807</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Gulf Coast State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109" zoomScale="70" zoomScaleNormal="70" zoomScaleSheetLayoutView="70" zoomScalePageLayoutView="70" workbookViewId="0">
      <selection activeCell="G52" sqref="G52"/>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Gulf Coast State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782</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363213</v>
      </c>
      <c r="H12" s="222"/>
    </row>
    <row r="13" spans="1:8" ht="20.100000000000001" customHeight="1">
      <c r="A13" s="629" t="s">
        <v>216</v>
      </c>
      <c r="B13" s="229"/>
      <c r="C13" s="222" t="s">
        <v>140</v>
      </c>
      <c r="D13" s="229"/>
      <c r="E13" s="229"/>
      <c r="F13" s="235" t="s">
        <v>244</v>
      </c>
      <c r="G13" s="234">
        <f>+'EXHIBIT C'!H11+'EXHIBIT C(2)'!E14</f>
        <v>4145502</v>
      </c>
      <c r="H13" s="222"/>
    </row>
    <row r="14" spans="1:8" ht="20.100000000000001" customHeight="1">
      <c r="A14" s="629" t="s">
        <v>216</v>
      </c>
      <c r="B14" s="229"/>
      <c r="C14" s="229" t="s">
        <v>141</v>
      </c>
      <c r="D14" s="229"/>
      <c r="E14" s="229"/>
      <c r="F14" s="235" t="s">
        <v>245</v>
      </c>
      <c r="G14" s="653">
        <f>+'EXHIBIT C'!H12+'EXHIBIT C(2)'!E15</f>
        <v>1155928</v>
      </c>
      <c r="H14" s="222"/>
    </row>
    <row r="15" spans="1:8" ht="20.100000000000001" customHeight="1">
      <c r="A15" s="629" t="s">
        <v>216</v>
      </c>
      <c r="B15" s="229"/>
      <c r="C15" s="236" t="s">
        <v>298</v>
      </c>
      <c r="D15" s="229"/>
      <c r="E15" s="229"/>
      <c r="F15" s="235" t="s">
        <v>246</v>
      </c>
      <c r="G15" s="653">
        <f>+'EXHIBIT C'!H13+'EXHIBIT C(2)'!E16</f>
        <v>318531</v>
      </c>
      <c r="H15" s="222"/>
    </row>
    <row r="16" spans="1:8" ht="20.100000000000001" customHeight="1">
      <c r="A16" s="629" t="s">
        <v>216</v>
      </c>
      <c r="B16" s="229"/>
      <c r="C16" s="236" t="s">
        <v>299</v>
      </c>
      <c r="D16" s="229"/>
      <c r="E16" s="229"/>
      <c r="F16" s="235" t="s">
        <v>247</v>
      </c>
      <c r="G16" s="654">
        <f>+'EXHIBIT C'!H14+'EXHIBIT C(2)'!E17</f>
        <v>63805</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6046979</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1311</v>
      </c>
      <c r="H21" s="666"/>
    </row>
    <row r="22" spans="1:8" ht="20.100000000000001" customHeight="1">
      <c r="A22" s="630" t="s">
        <v>231</v>
      </c>
      <c r="B22" s="229"/>
      <c r="C22" s="222" t="s">
        <v>140</v>
      </c>
      <c r="D22" s="229"/>
      <c r="E22" s="229"/>
      <c r="F22" s="235" t="s">
        <v>251</v>
      </c>
      <c r="G22" s="240">
        <f>+'EXHIBIT C'!F20+'EXHIBIT C(2)'!E23</f>
        <v>639461</v>
      </c>
      <c r="H22" s="222"/>
    </row>
    <row r="23" spans="1:8" ht="20.100000000000001" customHeight="1">
      <c r="A23" s="630" t="s">
        <v>231</v>
      </c>
      <c r="B23" s="229"/>
      <c r="C23" s="229" t="s">
        <v>141</v>
      </c>
      <c r="D23" s="229"/>
      <c r="E23" s="229"/>
      <c r="F23" s="235" t="s">
        <v>252</v>
      </c>
      <c r="G23" s="245">
        <f>+'EXHIBIT C'!F21+'EXHIBIT C(2)'!E24</f>
        <v>162079</v>
      </c>
      <c r="H23" s="222"/>
    </row>
    <row r="24" spans="1:8" ht="20.100000000000001" customHeight="1">
      <c r="A24" s="630" t="s">
        <v>231</v>
      </c>
      <c r="B24" s="229"/>
      <c r="C24" s="236" t="s">
        <v>298</v>
      </c>
      <c r="D24" s="229"/>
      <c r="E24" s="229"/>
      <c r="F24" s="235" t="s">
        <v>253</v>
      </c>
      <c r="G24" s="245">
        <f>+'EXHIBIT C'!F22+'EXHIBIT C(2)'!E25</f>
        <v>33566</v>
      </c>
      <c r="H24" s="222"/>
    </row>
    <row r="25" spans="1:8" ht="20.100000000000001" customHeight="1">
      <c r="A25" s="630" t="s">
        <v>231</v>
      </c>
      <c r="B25" s="229"/>
      <c r="C25" s="236" t="s">
        <v>299</v>
      </c>
      <c r="D25" s="229"/>
      <c r="E25" s="229"/>
      <c r="F25" s="235" t="s">
        <v>254</v>
      </c>
      <c r="G25" s="245">
        <f>+'EXHIBIT C'!F23+'EXHIBIT C(2)'!E26</f>
        <v>20813</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857230</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6904209</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v>323394</v>
      </c>
      <c r="H50" s="222"/>
    </row>
    <row r="51" spans="1:8" ht="20.100000000000001" customHeight="1">
      <c r="A51" s="629" t="s">
        <v>319</v>
      </c>
      <c r="B51" s="229"/>
      <c r="C51" s="229"/>
      <c r="D51" s="229"/>
      <c r="E51" s="229"/>
      <c r="F51" s="233">
        <v>40450</v>
      </c>
      <c r="G51" s="572">
        <f>418785+298</f>
        <v>419083</v>
      </c>
      <c r="H51" s="222"/>
    </row>
    <row r="52" spans="1:8" ht="20.100000000000001" customHeight="1">
      <c r="A52" s="629" t="s">
        <v>320</v>
      </c>
      <c r="B52" s="229"/>
      <c r="C52" s="229"/>
      <c r="D52" s="229"/>
      <c r="E52" s="229"/>
      <c r="F52" s="248" t="s">
        <v>321</v>
      </c>
      <c r="G52" s="572">
        <v>30000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34632</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0</v>
      </c>
      <c r="H58" s="222"/>
    </row>
    <row r="59" spans="1:8" ht="20.100000000000001" customHeight="1">
      <c r="A59" s="630" t="s">
        <v>334</v>
      </c>
      <c r="B59" s="232"/>
      <c r="C59" s="232"/>
      <c r="D59" s="232"/>
      <c r="E59" s="232"/>
      <c r="F59" s="248" t="s">
        <v>335</v>
      </c>
      <c r="G59" s="572">
        <f>320423-97</f>
        <v>320326</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8031644</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20724248</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0</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f>246571+248739</f>
        <v>495310</v>
      </c>
      <c r="H80" s="222"/>
    </row>
    <row r="81" spans="1:10" ht="20.100000000000001" customHeight="1">
      <c r="A81" s="629" t="s">
        <v>361</v>
      </c>
      <c r="B81" s="229"/>
      <c r="C81" s="229"/>
      <c r="D81" s="229"/>
      <c r="E81" s="229"/>
      <c r="F81" s="235" t="s">
        <v>362</v>
      </c>
      <c r="G81" s="655">
        <f>'CHECK SHEET'!D104</f>
        <v>3791300</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25010858</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29300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207050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236350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250000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250000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8500</v>
      </c>
      <c r="H109" s="222"/>
    </row>
    <row r="110" spans="1:8" ht="20.100000000000001" customHeight="1">
      <c r="A110" s="629" t="s">
        <v>388</v>
      </c>
      <c r="B110" s="229"/>
      <c r="C110" s="229"/>
      <c r="D110" s="229"/>
      <c r="E110" s="229"/>
      <c r="F110" s="235" t="s">
        <v>389</v>
      </c>
      <c r="G110" s="573">
        <v>61780</v>
      </c>
      <c r="H110" s="222"/>
    </row>
    <row r="111" spans="1:8" ht="20.100000000000001" customHeight="1">
      <c r="A111" s="629" t="s">
        <v>390</v>
      </c>
      <c r="B111" s="229"/>
      <c r="C111" s="229"/>
      <c r="D111" s="229"/>
      <c r="E111" s="229"/>
      <c r="F111" s="235" t="s">
        <v>391</v>
      </c>
      <c r="G111" s="573">
        <v>26973</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97253</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58812</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0</v>
      </c>
      <c r="H125" s="222"/>
    </row>
    <row r="126" spans="1:8" ht="20.100000000000001" customHeight="1">
      <c r="A126" s="629" t="s">
        <v>407</v>
      </c>
      <c r="B126" s="229"/>
      <c r="C126" s="229"/>
      <c r="D126" s="229"/>
      <c r="E126" s="229"/>
      <c r="F126" s="235" t="s">
        <v>408</v>
      </c>
      <c r="G126" s="573">
        <v>107029</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165841</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53807</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53807</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33845753</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1524293</v>
      </c>
      <c r="H147" s="222"/>
    </row>
    <row r="148" spans="1:8" ht="20.100000000000001" customHeight="1">
      <c r="A148" s="629" t="s">
        <v>429</v>
      </c>
      <c r="B148" s="222"/>
      <c r="C148" s="222"/>
      <c r="D148" s="222"/>
      <c r="E148" s="222"/>
      <c r="F148" s="235" t="s">
        <v>430</v>
      </c>
      <c r="G148" s="577">
        <v>0</v>
      </c>
      <c r="H148" s="222"/>
    </row>
    <row r="149" spans="1:8" ht="20.100000000000001" customHeight="1">
      <c r="A149" s="629" t="s">
        <v>431</v>
      </c>
      <c r="B149" s="222"/>
      <c r="C149" s="222"/>
      <c r="D149" s="222"/>
      <c r="E149" s="222"/>
      <c r="F149" s="235" t="s">
        <v>432</v>
      </c>
      <c r="G149" s="577">
        <v>1975682</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5823753+194718+412210+928347</f>
        <v>7359028</v>
      </c>
      <c r="H152" s="222"/>
    </row>
    <row r="153" spans="1:8" ht="20.100000000000001" customHeight="1">
      <c r="A153" s="629" t="s">
        <v>439</v>
      </c>
      <c r="B153" s="229"/>
      <c r="C153" s="229"/>
      <c r="D153" s="229"/>
      <c r="E153" s="229"/>
      <c r="F153" s="235" t="s">
        <v>440</v>
      </c>
      <c r="G153" s="577">
        <v>533599</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74971</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2499084</v>
      </c>
      <c r="H162" s="222"/>
    </row>
    <row r="163" spans="1:8" ht="20.100000000000001" customHeight="1">
      <c r="A163" s="629" t="s">
        <v>458</v>
      </c>
      <c r="B163" s="229"/>
      <c r="C163" s="229"/>
      <c r="D163" s="229"/>
      <c r="E163" s="229"/>
      <c r="F163" s="235" t="s">
        <v>459</v>
      </c>
      <c r="G163" s="577">
        <v>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3355755</v>
      </c>
      <c r="H167" s="222"/>
    </row>
    <row r="168" spans="1:8" ht="20.100000000000001" customHeight="1">
      <c r="A168" s="629" t="s">
        <v>468</v>
      </c>
      <c r="B168" s="229"/>
      <c r="C168" s="229"/>
      <c r="D168" s="229"/>
      <c r="E168" s="229"/>
      <c r="F168" s="235" t="s">
        <v>469</v>
      </c>
      <c r="G168" s="577">
        <v>50000</v>
      </c>
      <c r="H168" s="222"/>
    </row>
    <row r="169" spans="1:8" ht="20.100000000000001" customHeight="1">
      <c r="A169" s="629" t="s">
        <v>470</v>
      </c>
      <c r="B169" s="229"/>
      <c r="C169" s="229"/>
      <c r="D169" s="229"/>
      <c r="E169" s="229"/>
      <c r="F169" s="235" t="s">
        <v>471</v>
      </c>
      <c r="G169" s="577">
        <v>0</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1890000</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7500</v>
      </c>
      <c r="H176" s="222"/>
    </row>
    <row r="177" spans="1:8" ht="20.100000000000001" customHeight="1">
      <c r="A177" s="638" t="s">
        <v>483</v>
      </c>
      <c r="B177" s="222"/>
      <c r="C177" s="222"/>
      <c r="D177" s="222"/>
      <c r="E177" s="222"/>
      <c r="F177" s="256" t="s">
        <v>484</v>
      </c>
      <c r="G177" s="577">
        <v>0</v>
      </c>
      <c r="H177" s="222"/>
    </row>
    <row r="178" spans="1:8" ht="20.100000000000001" customHeight="1">
      <c r="A178" s="629" t="s">
        <v>485</v>
      </c>
      <c r="B178" s="229"/>
      <c r="C178" s="229"/>
      <c r="D178" s="229"/>
      <c r="E178" s="229"/>
      <c r="F178" s="235" t="s">
        <v>486</v>
      </c>
      <c r="G178" s="577">
        <v>350000</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150000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1252086+245031</f>
        <v>1497117</v>
      </c>
      <c r="H185" s="222"/>
    </row>
    <row r="186" spans="1:8" ht="20.100000000000001" customHeight="1">
      <c r="A186" s="629" t="s">
        <v>501</v>
      </c>
      <c r="B186" s="229"/>
      <c r="C186" s="229"/>
      <c r="D186" s="229"/>
      <c r="E186" s="229"/>
      <c r="F186" s="235" t="s">
        <v>502</v>
      </c>
      <c r="G186" s="577">
        <v>1749648</v>
      </c>
      <c r="H186" s="222"/>
    </row>
    <row r="187" spans="1:8" ht="20.100000000000001" customHeight="1">
      <c r="A187" s="629" t="s">
        <v>503</v>
      </c>
      <c r="B187" s="229"/>
      <c r="C187" s="229"/>
      <c r="D187" s="229"/>
      <c r="E187" s="229"/>
      <c r="F187" s="235" t="s">
        <v>504</v>
      </c>
      <c r="G187" s="577">
        <v>100000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2197301</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100000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25413978</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f>23214+101439+101366</f>
        <v>226019</v>
      </c>
      <c r="H199" s="222"/>
    </row>
    <row r="200" spans="1:8" ht="20.100000000000001" customHeight="1">
      <c r="A200" s="629" t="s">
        <v>520</v>
      </c>
      <c r="B200" s="229"/>
      <c r="C200" s="229"/>
      <c r="D200" s="229"/>
      <c r="E200" s="229"/>
      <c r="F200" s="235" t="s">
        <v>521</v>
      </c>
      <c r="G200" s="577">
        <v>28520</v>
      </c>
      <c r="H200" s="222"/>
    </row>
    <row r="201" spans="1:8" ht="20.100000000000001" customHeight="1">
      <c r="A201" s="629" t="s">
        <v>522</v>
      </c>
      <c r="B201" s="229"/>
      <c r="C201" s="229"/>
      <c r="D201" s="229"/>
      <c r="E201" s="229"/>
      <c r="F201" s="235" t="s">
        <v>523</v>
      </c>
      <c r="G201" s="577">
        <v>249444</v>
      </c>
      <c r="H201" s="222"/>
    </row>
    <row r="202" spans="1:8" ht="20.100000000000001" customHeight="1">
      <c r="A202" s="629" t="s">
        <v>524</v>
      </c>
      <c r="B202" s="229"/>
      <c r="C202" s="229"/>
      <c r="D202" s="229"/>
      <c r="E202" s="229"/>
      <c r="F202" s="235" t="s">
        <v>525</v>
      </c>
      <c r="G202" s="577">
        <v>41075</v>
      </c>
      <c r="H202" s="222"/>
    </row>
    <row r="203" spans="1:8" ht="20.100000000000001" customHeight="1">
      <c r="A203" s="629" t="s">
        <v>526</v>
      </c>
      <c r="B203" s="229"/>
      <c r="C203" s="229"/>
      <c r="D203" s="229"/>
      <c r="E203" s="229"/>
      <c r="F203" s="235" t="s">
        <v>527</v>
      </c>
      <c r="G203" s="577">
        <f>382363+35345</f>
        <v>417708</v>
      </c>
      <c r="H203" s="222"/>
    </row>
    <row r="204" spans="1:8" ht="20.100000000000001" customHeight="1">
      <c r="A204" s="629" t="s">
        <v>528</v>
      </c>
      <c r="B204" s="229"/>
      <c r="C204" s="229"/>
      <c r="D204" s="229"/>
      <c r="E204" s="229"/>
      <c r="F204" s="235" t="s">
        <v>529</v>
      </c>
      <c r="G204" s="577">
        <v>123002</v>
      </c>
      <c r="H204" s="222"/>
    </row>
    <row r="205" spans="1:8" ht="20.100000000000001" customHeight="1">
      <c r="A205" s="629" t="s">
        <v>530</v>
      </c>
      <c r="B205" s="229"/>
      <c r="C205" s="229"/>
      <c r="D205" s="229"/>
      <c r="E205" s="229"/>
      <c r="F205" s="235" t="s">
        <v>531</v>
      </c>
      <c r="G205" s="577">
        <f>836081+16533</f>
        <v>852614</v>
      </c>
      <c r="H205" s="222"/>
    </row>
    <row r="206" spans="1:8" ht="20.100000000000001" customHeight="1">
      <c r="A206" s="629" t="s">
        <v>532</v>
      </c>
      <c r="B206" s="229"/>
      <c r="C206" s="229"/>
      <c r="D206" s="229"/>
      <c r="E206" s="229"/>
      <c r="F206" s="235" t="s">
        <v>533</v>
      </c>
      <c r="G206" s="577">
        <v>1662812</v>
      </c>
      <c r="H206" s="222"/>
    </row>
    <row r="207" spans="1:8" ht="20.100000000000001" customHeight="1">
      <c r="A207" s="629" t="s">
        <v>534</v>
      </c>
      <c r="B207" s="229"/>
      <c r="C207" s="229"/>
      <c r="D207" s="229"/>
      <c r="E207" s="229"/>
      <c r="F207" s="235" t="s">
        <v>535</v>
      </c>
      <c r="G207" s="577">
        <v>0</v>
      </c>
      <c r="H207" s="222"/>
    </row>
    <row r="208" spans="1:8" ht="20.100000000000001" customHeight="1">
      <c r="A208" s="629" t="s">
        <v>536</v>
      </c>
      <c r="B208" s="229"/>
      <c r="C208" s="229"/>
      <c r="D208" s="229"/>
      <c r="E208" s="229"/>
      <c r="F208" s="235" t="s">
        <v>537</v>
      </c>
      <c r="G208" s="577">
        <v>0</v>
      </c>
      <c r="H208" s="222"/>
    </row>
    <row r="209" spans="1:8" ht="20.100000000000001" customHeight="1">
      <c r="A209" s="629" t="s">
        <v>538</v>
      </c>
      <c r="B209" s="229"/>
      <c r="C209" s="229"/>
      <c r="D209" s="229"/>
      <c r="E209" s="229"/>
      <c r="F209" s="235" t="s">
        <v>539</v>
      </c>
      <c r="G209" s="577">
        <v>0</v>
      </c>
      <c r="H209" s="222"/>
    </row>
    <row r="210" spans="1:8" ht="20.100000000000001" customHeight="1">
      <c r="A210" s="629" t="s">
        <v>540</v>
      </c>
      <c r="B210" s="229"/>
      <c r="C210" s="229"/>
      <c r="D210" s="229"/>
      <c r="E210" s="229"/>
      <c r="F210" s="235" t="s">
        <v>541</v>
      </c>
      <c r="G210" s="577">
        <v>0</v>
      </c>
      <c r="H210" s="222"/>
    </row>
    <row r="211" spans="1:8" ht="20.100000000000001" customHeight="1">
      <c r="A211" s="629" t="s">
        <v>542</v>
      </c>
      <c r="B211" s="229"/>
      <c r="C211" s="229"/>
      <c r="D211" s="229"/>
      <c r="E211" s="229"/>
      <c r="F211" s="235" t="s">
        <v>543</v>
      </c>
      <c r="G211" s="577">
        <v>0</v>
      </c>
      <c r="H211" s="222"/>
    </row>
    <row r="212" spans="1:8" ht="20.100000000000001" customHeight="1">
      <c r="A212" s="629" t="s">
        <v>544</v>
      </c>
      <c r="B212" s="222"/>
      <c r="C212" s="222"/>
      <c r="D212" s="222"/>
      <c r="E212" s="222"/>
      <c r="F212" s="235" t="s">
        <v>545</v>
      </c>
      <c r="G212" s="577">
        <v>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887632</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f>771978+347285</f>
        <v>1119263</v>
      </c>
      <c r="H217" s="222"/>
    </row>
    <row r="218" spans="1:8" ht="20.100000000000001" customHeight="1">
      <c r="A218" s="629" t="s">
        <v>554</v>
      </c>
      <c r="B218" s="229"/>
      <c r="C218" s="229"/>
      <c r="D218" s="229"/>
      <c r="E218" s="229"/>
      <c r="F218" s="235" t="s">
        <v>555</v>
      </c>
      <c r="G218" s="577">
        <f>247978+364662+223306+330290-370430</f>
        <v>795806</v>
      </c>
      <c r="H218" s="222"/>
    </row>
    <row r="219" spans="1:8" ht="20.100000000000001" customHeight="1">
      <c r="A219" s="629" t="s">
        <v>556</v>
      </c>
      <c r="B219" s="222"/>
      <c r="C219" s="222"/>
      <c r="D219" s="222"/>
      <c r="E219" s="222"/>
      <c r="F219" s="256" t="s">
        <v>557</v>
      </c>
      <c r="G219" s="577">
        <f>410950+19171-260263-81</f>
        <v>169777</v>
      </c>
      <c r="H219" s="222"/>
    </row>
    <row r="220" spans="1:8" ht="20.100000000000001" customHeight="1">
      <c r="A220" s="629" t="s">
        <v>558</v>
      </c>
      <c r="B220" s="229"/>
      <c r="C220" s="229"/>
      <c r="D220" s="229"/>
      <c r="E220" s="229"/>
      <c r="F220" s="235" t="s">
        <v>559</v>
      </c>
      <c r="G220" s="577">
        <v>181775</v>
      </c>
      <c r="H220" s="222"/>
    </row>
    <row r="221" spans="1:8" ht="20.100000000000001" customHeight="1">
      <c r="A221" s="629" t="s">
        <v>560</v>
      </c>
      <c r="B221" s="229"/>
      <c r="C221" s="229"/>
      <c r="D221" s="229"/>
      <c r="E221" s="229"/>
      <c r="F221" s="235" t="s">
        <v>561</v>
      </c>
      <c r="G221" s="577">
        <f>7469+4179</f>
        <v>11648</v>
      </c>
      <c r="H221" s="222"/>
    </row>
    <row r="222" spans="1:8" ht="20.100000000000001" customHeight="1">
      <c r="A222" s="630" t="s">
        <v>562</v>
      </c>
      <c r="B222" s="232"/>
      <c r="C222" s="232"/>
      <c r="D222" s="232"/>
      <c r="E222" s="232"/>
      <c r="F222" s="248" t="s">
        <v>563</v>
      </c>
      <c r="G222" s="577">
        <v>194330</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15000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100000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7076425</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2500</v>
      </c>
      <c r="H242" s="222"/>
    </row>
    <row r="243" spans="1:10" ht="20.100000000000001" customHeight="1">
      <c r="A243" s="630" t="s">
        <v>594</v>
      </c>
      <c r="B243" s="232"/>
      <c r="C243" s="232"/>
      <c r="D243" s="232"/>
      <c r="E243" s="232"/>
      <c r="F243" s="248" t="s">
        <v>595</v>
      </c>
      <c r="G243" s="577">
        <f>103000+33375</f>
        <v>136375</v>
      </c>
      <c r="H243" s="222"/>
    </row>
    <row r="244" spans="1:10" ht="20.100000000000001" customHeight="1">
      <c r="A244" s="629" t="s">
        <v>596</v>
      </c>
      <c r="B244" s="229"/>
      <c r="C244" s="229"/>
      <c r="D244" s="229"/>
      <c r="E244" s="229"/>
      <c r="F244" s="235" t="s">
        <v>597</v>
      </c>
      <c r="G244" s="577">
        <f>966475+100000+0</f>
        <v>1066475</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50000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100000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1355350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33845753</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100000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1955000</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2055000</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-3373862</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-1318862</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dcmitype/"/>
    <ds:schemaRef ds:uri="http://schemas.microsoft.com/office/infopath/2007/PartnerControls"/>
    <ds:schemaRef ds:uri="http://purl.org/dc/terms/"/>
    <ds:schemaRef ds:uri="http://schemas.microsoft.com/office/2006/metadata/properties"/>
    <ds:schemaRef ds:uri="http://www.w3.org/XML/1998/namespace"/>
    <ds:schemaRef ds:uri="http://schemas.openxmlformats.org/package/2006/metadata/core-properties"/>
    <ds:schemaRef ds:uri="ee822479-6e51-4d14-b6b0-2c589e913e66"/>
    <ds:schemaRef ds:uri="http://purl.org/dc/elements/1.1/"/>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2021-06-30T13:49:53Z</cp:lastPrinted>
  <dcterms:created xsi:type="dcterms:W3CDTF">2005-03-22T15:46:43Z</dcterms:created>
  <dcterms:modified xsi:type="dcterms:W3CDTF">2021-10-13T14:34:45Z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