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3"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8" l="1"/>
  <c r="G189" i="7"/>
  <c r="G186" i="7"/>
  <c r="G185" i="7"/>
  <c r="G147" i="7"/>
  <c r="D131" i="15"/>
  <c r="G272" i="7"/>
  <c r="E14" i="4"/>
  <c r="C14" i="8"/>
  <c r="C17" i="8"/>
  <c r="B15" i="8"/>
  <c r="G178" i="7"/>
  <c r="G172" i="7"/>
  <c r="G153" i="7"/>
  <c r="G167" i="7"/>
  <c r="G77" i="7"/>
  <c r="G59" i="7"/>
  <c r="D13" i="6"/>
  <c r="F13" i="6"/>
  <c r="S113" i="23"/>
  <c r="T113" i="23"/>
  <c r="V113" i="23"/>
  <c r="AD113" i="23"/>
  <c r="AG113" i="23"/>
  <c r="AB113" i="23"/>
  <c r="Z113" i="23"/>
  <c r="E48" i="23"/>
  <c r="E49" i="23"/>
  <c r="E50" i="23"/>
  <c r="E51" i="23"/>
  <c r="E53" i="23"/>
  <c r="D57" i="23"/>
  <c r="E56" i="23"/>
  <c r="E52" i="23"/>
  <c r="G10" i="6"/>
  <c r="G11" i="6"/>
  <c r="G12" i="6"/>
  <c r="G13" i="6"/>
  <c r="G14" i="6"/>
  <c r="G15" i="6"/>
  <c r="F32" i="6"/>
  <c r="G32" i="6"/>
  <c r="H32" i="6"/>
  <c r="G30" i="7"/>
  <c r="F33" i="6"/>
  <c r="G33" i="6"/>
  <c r="F34" i="6"/>
  <c r="G34" i="6"/>
  <c r="H34" i="6"/>
  <c r="G32" i="7"/>
  <c r="F35" i="6"/>
  <c r="G35" i="6"/>
  <c r="E19" i="6"/>
  <c r="F19" i="6"/>
  <c r="G21" i="7"/>
  <c r="E20" i="6"/>
  <c r="F20" i="6"/>
  <c r="G22" i="7"/>
  <c r="E21" i="6"/>
  <c r="F21" i="6"/>
  <c r="G23" i="7"/>
  <c r="E22" i="6"/>
  <c r="F22" i="6"/>
  <c r="G24" i="7"/>
  <c r="E23" i="6"/>
  <c r="F23" i="6"/>
  <c r="G25" i="7"/>
  <c r="E24" i="6"/>
  <c r="F24" i="6"/>
  <c r="G26" i="7"/>
  <c r="B34" i="5"/>
  <c r="E39" i="6"/>
  <c r="F39" i="6"/>
  <c r="G37" i="7"/>
  <c r="B35" i="5"/>
  <c r="E40" i="6"/>
  <c r="F40" i="6"/>
  <c r="G38" i="7"/>
  <c r="B37" i="5"/>
  <c r="E41" i="6"/>
  <c r="F41" i="6"/>
  <c r="G39" i="7"/>
  <c r="B38" i="5"/>
  <c r="E42" i="6"/>
  <c r="F42" i="6"/>
  <c r="G40" i="7"/>
  <c r="G71" i="7"/>
  <c r="D102" i="3"/>
  <c r="G75" i="7"/>
  <c r="G96" i="7"/>
  <c r="G105" i="7"/>
  <c r="G115" i="7"/>
  <c r="G119" i="7"/>
  <c r="G128" i="7"/>
  <c r="G141" i="7"/>
  <c r="C76" i="23"/>
  <c r="D76" i="23"/>
  <c r="E76" i="23"/>
  <c r="F76" i="23"/>
  <c r="A113" i="23"/>
  <c r="A114" i="23"/>
  <c r="A115" i="23"/>
  <c r="AD115" i="23"/>
  <c r="A116" i="23"/>
  <c r="AD116" i="23"/>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c r="D117" i="23"/>
  <c r="G117" i="23"/>
  <c r="J117" i="23"/>
  <c r="M117" i="23"/>
  <c r="P117" i="23"/>
  <c r="S117" i="23"/>
  <c r="A118" i="23"/>
  <c r="AD118" i="23"/>
  <c r="D118" i="23"/>
  <c r="G118" i="23"/>
  <c r="J118" i="23"/>
  <c r="M118" i="23"/>
  <c r="P118" i="23"/>
  <c r="S118" i="23"/>
  <c r="A119" i="23"/>
  <c r="AD119" i="23"/>
  <c r="D119" i="23"/>
  <c r="G119" i="23"/>
  <c r="J119" i="23"/>
  <c r="M119" i="23"/>
  <c r="P119" i="23"/>
  <c r="S119" i="23"/>
  <c r="A120" i="23"/>
  <c r="AD120" i="23"/>
  <c r="D120" i="23"/>
  <c r="G120" i="23"/>
  <c r="J120" i="23"/>
  <c r="M120" i="23"/>
  <c r="P120" i="23"/>
  <c r="S120" i="23"/>
  <c r="A121" i="23"/>
  <c r="AD121" i="23"/>
  <c r="D121" i="23"/>
  <c r="G121" i="23"/>
  <c r="J121" i="23"/>
  <c r="M121" i="23"/>
  <c r="P121" i="23"/>
  <c r="S121" i="23"/>
  <c r="A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AD138" i="23"/>
  <c r="D138" i="23"/>
  <c r="G138" i="23"/>
  <c r="J138" i="23"/>
  <c r="M138" i="23"/>
  <c r="P138" i="23"/>
  <c r="S138" i="23"/>
  <c r="A139" i="23"/>
  <c r="AD139" i="23"/>
  <c r="D139" i="23"/>
  <c r="G139" i="23"/>
  <c r="J139" i="23"/>
  <c r="M139" i="23"/>
  <c r="P139" i="23"/>
  <c r="S139" i="23"/>
  <c r="A140" i="23"/>
  <c r="AD140" i="23"/>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c r="E80" i="23"/>
  <c r="F80" i="23"/>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c r="E104" i="3"/>
  <c r="C35" i="23"/>
  <c r="E103" i="3"/>
  <c r="D103" i="3"/>
  <c r="F103" i="3"/>
  <c r="B99" i="23"/>
  <c r="C71" i="23"/>
  <c r="D71" i="23"/>
  <c r="C72" i="23"/>
  <c r="D72" i="23"/>
  <c r="E72" i="23"/>
  <c r="F72" i="23"/>
  <c r="C73" i="23"/>
  <c r="D73" i="23"/>
  <c r="E73" i="23"/>
  <c r="F73" i="23"/>
  <c r="C74" i="23"/>
  <c r="D74" i="23"/>
  <c r="E74" i="23"/>
  <c r="F74" i="23"/>
  <c r="C75" i="23"/>
  <c r="D75" i="23"/>
  <c r="E75" i="23"/>
  <c r="F75" i="23"/>
  <c r="C77" i="23"/>
  <c r="D77" i="23"/>
  <c r="E77" i="23"/>
  <c r="F77" i="23"/>
  <c r="C78" i="23"/>
  <c r="D78" i="23"/>
  <c r="E78" i="23"/>
  <c r="F78" i="23"/>
  <c r="C79" i="23"/>
  <c r="D79" i="23"/>
  <c r="E79" i="23"/>
  <c r="F79" i="23"/>
  <c r="C81" i="23"/>
  <c r="D81" i="23"/>
  <c r="E81" i="23"/>
  <c r="F81" i="23"/>
  <c r="C82" i="23"/>
  <c r="C83" i="23"/>
  <c r="D83" i="23"/>
  <c r="E83" i="23"/>
  <c r="C84" i="23"/>
  <c r="D84" i="23"/>
  <c r="E84" i="23"/>
  <c r="F84" i="23"/>
  <c r="C85" i="23"/>
  <c r="D85" i="23"/>
  <c r="E85" i="23"/>
  <c r="C86" i="23"/>
  <c r="D86" i="23"/>
  <c r="E86" i="23"/>
  <c r="F86" i="23"/>
  <c r="C87" i="23"/>
  <c r="D87" i="23"/>
  <c r="E87" i="23"/>
  <c r="C88" i="23"/>
  <c r="D88" i="23"/>
  <c r="E88" i="23"/>
  <c r="F88" i="23"/>
  <c r="C89" i="23"/>
  <c r="D89" i="23"/>
  <c r="E89" i="23"/>
  <c r="F89" i="23"/>
  <c r="C90" i="23"/>
  <c r="D90" i="23"/>
  <c r="E90" i="23"/>
  <c r="C91" i="23"/>
  <c r="D91" i="23"/>
  <c r="E91" i="23"/>
  <c r="C92" i="23"/>
  <c r="C93" i="23"/>
  <c r="D93" i="23"/>
  <c r="E93" i="23"/>
  <c r="F93" i="23"/>
  <c r="C94" i="23"/>
  <c r="D94" i="23"/>
  <c r="E94" i="23"/>
  <c r="F94" i="23"/>
  <c r="C95" i="23"/>
  <c r="D95" i="23"/>
  <c r="E95" i="23"/>
  <c r="C96" i="23"/>
  <c r="D96" i="23"/>
  <c r="E96" i="23"/>
  <c r="F96" i="23"/>
  <c r="C97" i="23"/>
  <c r="D97" i="23"/>
  <c r="E97" i="23"/>
  <c r="C98" i="23"/>
  <c r="D98" i="23"/>
  <c r="E98"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AG116" i="23"/>
  <c r="AB116" i="23"/>
  <c r="Z116" i="23"/>
  <c r="AG115" i="23"/>
  <c r="AB115" i="23"/>
  <c r="Z115" i="23"/>
  <c r="AG114" i="23"/>
  <c r="AB114" i="23"/>
  <c r="Z114" i="23"/>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c r="E118" i="15"/>
  <c r="F124" i="15"/>
  <c r="F127" i="15"/>
  <c r="F128" i="15"/>
  <c r="F129" i="15"/>
  <c r="F130" i="15"/>
  <c r="F131" i="15"/>
  <c r="F132" i="15"/>
  <c r="F133" i="15"/>
  <c r="F134" i="15"/>
  <c r="F135" i="15"/>
  <c r="E136"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c r="G254" i="7"/>
  <c r="E15" i="8"/>
  <c r="E36" i="6"/>
  <c r="D36" i="6"/>
  <c r="D43" i="6"/>
  <c r="D26" i="6"/>
  <c r="E17" i="6"/>
  <c r="G20" i="5"/>
  <c r="H20" i="5"/>
  <c r="G19" i="5"/>
  <c r="H19" i="5"/>
  <c r="G22" i="5"/>
  <c r="H22" i="5"/>
  <c r="G23" i="5"/>
  <c r="H23" i="5"/>
  <c r="E20" i="12"/>
  <c r="E29" i="12"/>
  <c r="E30" i="12"/>
  <c r="G195" i="7"/>
  <c r="D21" i="8"/>
  <c r="E68" i="3"/>
  <c r="C94" i="12"/>
  <c r="B31" i="5"/>
  <c r="H31" i="5"/>
  <c r="I31" i="5"/>
  <c r="B30" i="5"/>
  <c r="G16" i="5"/>
  <c r="H16" i="5"/>
  <c r="G15" i="5"/>
  <c r="H15" i="5"/>
  <c r="D96" i="8"/>
  <c r="C96" i="8"/>
  <c r="B69" i="6"/>
  <c r="C93" i="3"/>
  <c r="E19" i="4"/>
  <c r="E69" i="3"/>
  <c r="E70" i="3"/>
  <c r="E71" i="3"/>
  <c r="E72" i="3"/>
  <c r="E73" i="3"/>
  <c r="B21" i="8"/>
  <c r="C21" i="8"/>
  <c r="E10" i="8"/>
  <c r="E12" i="8"/>
  <c r="E16" i="8"/>
  <c r="E17" i="8"/>
  <c r="E18" i="8"/>
  <c r="E19" i="8"/>
  <c r="E20" i="8"/>
  <c r="E36" i="4"/>
  <c r="C127" i="3"/>
  <c r="D33" i="4"/>
  <c r="B60" i="6"/>
  <c r="C96" i="3"/>
  <c r="E26" i="4"/>
  <c r="E16" i="4"/>
  <c r="G270" i="7"/>
  <c r="G274" i="7"/>
  <c r="C120" i="3"/>
  <c r="E67" i="22"/>
  <c r="D61" i="22"/>
  <c r="E14" i="8"/>
  <c r="G238" i="7"/>
  <c r="X141" i="23"/>
  <c r="E60" i="22"/>
  <c r="F36" i="6"/>
  <c r="E70" i="22"/>
  <c r="E69" i="22"/>
  <c r="E68" i="22"/>
  <c r="D66" i="22"/>
  <c r="D68" i="22"/>
  <c r="H35" i="6"/>
  <c r="G33" i="7"/>
  <c r="H33" i="6"/>
  <c r="H34" i="5"/>
  <c r="I34" i="5"/>
  <c r="E62" i="22"/>
  <c r="H38" i="5"/>
  <c r="I38" i="5"/>
  <c r="H30" i="5"/>
  <c r="I30" i="5"/>
  <c r="D69" i="22"/>
  <c r="F43" i="6"/>
  <c r="H44" i="6"/>
  <c r="C95" i="3"/>
  <c r="D92" i="23"/>
  <c r="E92" i="23"/>
  <c r="F92" i="23"/>
  <c r="H37" i="5"/>
  <c r="I37" i="5"/>
  <c r="D70" i="22"/>
  <c r="G31" i="7"/>
  <c r="G35" i="7"/>
  <c r="H36" i="6"/>
  <c r="D17" i="6"/>
  <c r="F12" i="6"/>
  <c r="E46" i="3"/>
  <c r="F11" i="6"/>
  <c r="H11" i="6"/>
  <c r="G13" i="7"/>
  <c r="F14" i="6"/>
  <c r="H14" i="6"/>
  <c r="G16" i="7"/>
  <c r="H13" i="6"/>
  <c r="G15" i="7"/>
  <c r="F15" i="6"/>
  <c r="E49" i="3"/>
  <c r="F10" i="6"/>
  <c r="E44" i="3"/>
  <c r="E47" i="3"/>
  <c r="C121" i="3"/>
  <c r="E48" i="3"/>
  <c r="H15" i="6"/>
  <c r="G17" i="7"/>
  <c r="H12" i="6"/>
  <c r="G14" i="7"/>
  <c r="E74" i="3"/>
  <c r="C113" i="3"/>
  <c r="C111" i="3"/>
  <c r="E21" i="8"/>
  <c r="G256" i="7"/>
  <c r="E25" i="4"/>
  <c r="E28" i="4"/>
  <c r="C112" i="3"/>
  <c r="E45" i="3"/>
  <c r="B70" i="6"/>
  <c r="C92" i="3"/>
  <c r="F17" i="6"/>
  <c r="E50" i="3"/>
  <c r="H10" i="6"/>
  <c r="H29" i="5"/>
  <c r="I29" i="5"/>
  <c r="G28" i="7"/>
  <c r="G42" i="7"/>
  <c r="F26" i="6"/>
  <c r="D126" i="15"/>
  <c r="C128" i="3"/>
  <c r="C132" i="3"/>
  <c r="E120" i="15"/>
  <c r="F102" i="15"/>
  <c r="E138" i="15"/>
  <c r="D120" i="15"/>
  <c r="F120" i="15"/>
  <c r="F57" i="15"/>
  <c r="T137" i="23"/>
  <c r="T122" i="23"/>
  <c r="T115" i="23"/>
  <c r="T139" i="23"/>
  <c r="J141" i="23"/>
  <c r="T133" i="23"/>
  <c r="T132" i="23"/>
  <c r="T138" i="23"/>
  <c r="T128" i="23"/>
  <c r="T126" i="23"/>
  <c r="T121" i="23"/>
  <c r="F90" i="23"/>
  <c r="T125" i="23"/>
  <c r="M141" i="23"/>
  <c r="G141" i="23"/>
  <c r="S141" i="23"/>
  <c r="D68" i="3"/>
  <c r="D44" i="3"/>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c r="G48" i="3"/>
  <c r="D73" i="3"/>
  <c r="F73" i="3"/>
  <c r="G73" i="3"/>
  <c r="D141" i="23"/>
  <c r="P141" i="23"/>
  <c r="D69" i="3"/>
  <c r="D45" i="3"/>
  <c r="D72" i="3"/>
  <c r="F72" i="3"/>
  <c r="G72" i="3"/>
  <c r="D70" i="3"/>
  <c r="F70" i="3"/>
  <c r="G70" i="3"/>
  <c r="D82" i="23"/>
  <c r="E82" i="23"/>
  <c r="F82" i="23"/>
  <c r="E71" i="23"/>
  <c r="E57" i="23"/>
  <c r="AD114" i="23"/>
  <c r="C99" i="23"/>
  <c r="F85" i="23"/>
  <c r="F83" i="23"/>
  <c r="D71" i="3"/>
  <c r="F71" i="3"/>
  <c r="G71" i="3"/>
  <c r="D49" i="3"/>
  <c r="F49" i="3"/>
  <c r="G49" i="3"/>
  <c r="F87" i="23"/>
  <c r="F95" i="23"/>
  <c r="D47" i="3"/>
  <c r="F47" i="3"/>
  <c r="G47" i="3"/>
  <c r="D46" i="3"/>
  <c r="F46" i="3"/>
  <c r="G46" i="3"/>
  <c r="F104" i="3"/>
  <c r="D35" i="23"/>
  <c r="G85" i="7"/>
  <c r="E102" i="3"/>
  <c r="D106" i="3"/>
  <c r="H17" i="6"/>
  <c r="H27" i="6"/>
  <c r="H46" i="6"/>
  <c r="C114" i="3"/>
  <c r="F45" i="3"/>
  <c r="G45" i="3"/>
  <c r="G12" i="7"/>
  <c r="G19" i="7"/>
  <c r="G44" i="7"/>
  <c r="G63" i="7"/>
  <c r="G143" i="7"/>
  <c r="E18" i="4"/>
  <c r="E21" i="4"/>
  <c r="E23" i="4"/>
  <c r="E44" i="4"/>
  <c r="C17" i="3"/>
  <c r="D125" i="15"/>
  <c r="C139" i="3"/>
  <c r="F126" i="15"/>
  <c r="C147" i="3"/>
  <c r="D50" i="3"/>
  <c r="F50" i="3"/>
  <c r="G50" i="3"/>
  <c r="AO113" i="23"/>
  <c r="AO116" i="23"/>
  <c r="AO119" i="23"/>
  <c r="AO120" i="23"/>
  <c r="AO122" i="23"/>
  <c r="D74" i="3"/>
  <c r="F74" i="3"/>
  <c r="G74" i="3"/>
  <c r="T141" i="23"/>
  <c r="F68" i="3"/>
  <c r="G68" i="3"/>
  <c r="F44" i="3"/>
  <c r="G44" i="3"/>
  <c r="F71" i="23"/>
  <c r="E99" i="23"/>
  <c r="D99" i="23"/>
  <c r="F69" i="3"/>
  <c r="G69" i="3"/>
  <c r="F99" i="23"/>
  <c r="E106" i="3"/>
  <c r="F102" i="3"/>
  <c r="F106" i="3"/>
  <c r="C34" i="3"/>
  <c r="C144" i="3"/>
  <c r="C137" i="3"/>
  <c r="F125" i="15"/>
  <c r="F136" i="15"/>
  <c r="D136" i="15"/>
  <c r="D138" i="15"/>
  <c r="D32" i="4"/>
  <c r="E35" i="4"/>
  <c r="E38" i="4"/>
  <c r="F138" i="15"/>
  <c r="C153"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<sst xmlns="http://schemas.openxmlformats.org/spreadsheetml/2006/main" count="1310" uniqueCount="792">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</sst>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Florida Gateway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783</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8482917.8300000001</v>
      </c>
      <c r="C10" s="580">
        <v>844275</v>
      </c>
      <c r="D10" s="580">
        <v>0</v>
      </c>
      <c r="E10" s="483">
        <f>SUM(B10:D10)</f>
        <v>9327192.8300000001</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2277081.6800000002</v>
      </c>
      <c r="C14" s="582">
        <f>460978-90000</f>
        <v>370978</v>
      </c>
      <c r="D14" s="582">
        <v>90000</v>
      </c>
      <c r="E14" s="484">
        <f t="shared" ref="E14:E20" si="0">SUM(B14:D14)</f>
        <v>2738059.68</v>
      </c>
      <c r="F14" s="460"/>
    </row>
    <row r="15" spans="1:8" s="37" customFormat="1" ht="20.100000000000001" customHeight="1">
      <c r="A15" s="482" t="s">
        <v>637</v>
      </c>
      <c r="B15" s="581">
        <f>27750</f>
        <v>27750</v>
      </c>
      <c r="C15" s="570">
        <v>76695</v>
      </c>
      <c r="D15" s="570">
        <v>0</v>
      </c>
      <c r="E15" s="484">
        <f>SUM(B15:D15)</f>
        <v>104445</v>
      </c>
      <c r="F15" s="460"/>
    </row>
    <row r="16" spans="1:8" s="37" customFormat="1" ht="20.100000000000001" customHeight="1">
      <c r="A16" s="482" t="s">
        <v>638</v>
      </c>
      <c r="B16" s="581">
        <v>2055486.42</v>
      </c>
      <c r="C16" s="570">
        <v>396390</v>
      </c>
      <c r="D16" s="570">
        <v>0</v>
      </c>
      <c r="E16" s="484">
        <f t="shared" si="0"/>
        <v>2451876.42</v>
      </c>
      <c r="F16" s="460"/>
    </row>
    <row r="17" spans="1:6" s="37" customFormat="1" ht="20.100000000000001" customHeight="1">
      <c r="A17" s="482" t="s">
        <v>639</v>
      </c>
      <c r="B17" s="581">
        <f>3563064.67+7783.41+1250</f>
        <v>3572098.08</v>
      </c>
      <c r="C17" s="570">
        <f>1766594-92000</f>
        <v>1674594</v>
      </c>
      <c r="D17" s="570">
        <v>92000</v>
      </c>
      <c r="E17" s="484">
        <f t="shared" si="0"/>
        <v>5338692.08</v>
      </c>
      <c r="F17" s="460"/>
    </row>
    <row r="18" spans="1:6" s="37" customFormat="1" ht="20.100000000000001" customHeight="1">
      <c r="A18" s="482" t="s">
        <v>640</v>
      </c>
      <c r="B18" s="581">
        <v>592550.68000000005</v>
      </c>
      <c r="C18" s="570">
        <v>2043840</v>
      </c>
      <c r="D18" s="570">
        <v>0</v>
      </c>
      <c r="E18" s="484">
        <f t="shared" si="0"/>
        <v>2636390.6800000002</v>
      </c>
      <c r="F18" s="460"/>
    </row>
    <row r="19" spans="1:6" s="37" customFormat="1" ht="20.100000000000001" customHeight="1">
      <c r="A19" s="482" t="s">
        <v>641</v>
      </c>
      <c r="B19" s="581">
        <v>0</v>
      </c>
      <c r="C19" s="570">
        <v>49000</v>
      </c>
      <c r="D19" s="570">
        <v>0</v>
      </c>
      <c r="E19" s="484">
        <f t="shared" si="0"/>
        <v>49000</v>
      </c>
      <c r="F19" s="460"/>
    </row>
    <row r="20" spans="1:6" s="37" customFormat="1" ht="20.100000000000001" customHeight="1" thickBot="1">
      <c r="A20" s="482" t="s">
        <v>642</v>
      </c>
      <c r="B20" s="581">
        <v>150000</v>
      </c>
      <c r="C20" s="571">
        <v>150000</v>
      </c>
      <c r="D20" s="571">
        <v>50000</v>
      </c>
      <c r="E20" s="484">
        <f t="shared" si="0"/>
        <v>350000</v>
      </c>
      <c r="F20" s="460"/>
    </row>
    <row r="21" spans="1:6" s="37" customFormat="1" ht="24" customHeight="1" thickBot="1">
      <c r="A21" s="380" t="s">
        <v>50</v>
      </c>
      <c r="B21" s="461">
        <f>SUM(B10:B20)</f>
        <v>17157884.690000001</v>
      </c>
      <c r="C21" s="464">
        <f>SUM(C10:C20)</f>
        <v>5605772</v>
      </c>
      <c r="D21" s="464">
        <f>SUM(D10:D20)</f>
        <v>232000</v>
      </c>
      <c r="E21" s="463">
        <f>SUM(E10:E20)</f>
        <v>22995656.689999998</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17" zoomScale="60" zoomScaleNormal="60" zoomScaleSheetLayoutView="50" zoomScalePageLayoutView="60" workbookViewId="0">
      <selection activeCell="D132" sqref="D132"/>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Florida Gateway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783</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743</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0</v>
      </c>
      <c r="E15" s="938">
        <v>0</v>
      </c>
      <c r="F15" s="939">
        <f t="shared" si="0"/>
        <v>0</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371363.52</v>
      </c>
      <c r="E16" s="938">
        <v>0</v>
      </c>
      <c r="F16" s="939">
        <f t="shared" si="0"/>
        <v>371363.52</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152000</v>
      </c>
      <c r="E35" s="938">
        <v>0</v>
      </c>
      <c r="F35" s="939">
        <f>+D35+E35</f>
        <v>152000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24775.56</v>
      </c>
      <c r="E48" s="938">
        <v>0</v>
      </c>
      <c r="F48" s="939">
        <f t="shared" si="0"/>
        <v>24775.56</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35042.03</v>
      </c>
      <c r="E49" s="938">
        <v>0</v>
      </c>
      <c r="F49" s="939">
        <f t="shared" si="0"/>
        <v>35042.03</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42978.47</v>
      </c>
      <c r="E54" s="938">
        <v>0</v>
      </c>
      <c r="F54" s="939">
        <f t="shared" si="0"/>
        <v>42978.47</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626159.58000000007</v>
      </c>
      <c r="E57" s="349">
        <f>SUM(E10:E56)</f>
        <v>0</v>
      </c>
      <c r="F57" s="349">
        <f t="shared" si="0"/>
        <v>626159.58000000007</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8200</v>
      </c>
      <c r="E64" s="583">
        <v>0</v>
      </c>
      <c r="F64" s="307">
        <f t="shared" si="0"/>
        <v>8200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400</v>
      </c>
      <c r="E65" s="938">
        <v>0</v>
      </c>
      <c r="F65" s="939">
        <f t="shared" si="0"/>
        <v>400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750</v>
      </c>
      <c r="E66" s="938">
        <v>0</v>
      </c>
      <c r="F66" s="939">
        <f t="shared" si="0"/>
        <v>750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0</v>
      </c>
      <c r="E67" s="938">
        <v>0</v>
      </c>
      <c r="F67" s="939">
        <f t="shared" si="0"/>
        <v>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4850</v>
      </c>
      <c r="E79" s="938">
        <v>0</v>
      </c>
      <c r="F79" s="939">
        <f t="shared" si="0"/>
        <v>4850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14000</v>
      </c>
      <c r="E82" s="938">
        <v>0</v>
      </c>
      <c r="F82" s="939">
        <f t="shared" si="1"/>
        <v>14000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22200</v>
      </c>
      <c r="E83" s="938">
        <v>0</v>
      </c>
      <c r="F83" s="939">
        <f t="shared" si="1"/>
        <v>22200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950</v>
      </c>
      <c r="E86" s="938">
        <v>0</v>
      </c>
      <c r="F86" s="939">
        <f t="shared" si="1"/>
        <v>950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51350</v>
      </c>
      <c r="E102" s="345">
        <f>SUM(E64:E101)</f>
        <v>0</v>
      </c>
      <c r="F102" s="345">
        <f t="shared" si="1"/>
        <v>51350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791</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677509.58000000007</v>
      </c>
      <c r="E120" s="345">
        <f>+E57+E102+E118</f>
        <v>0</v>
      </c>
      <c r="F120" s="345">
        <f>SUM(D120:E120)</f>
        <v>677509.58000000007</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266558</v>
      </c>
      <c r="E125" s="938">
        <v>0</v>
      </c>
      <c r="F125" s="939">
        <f t="shared" ref="F125:F135" si="3">+D125+E125</f>
        <v>266558</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0</v>
      </c>
      <c r="E126" s="938">
        <v>0</v>
      </c>
      <c r="F126" s="939">
        <f t="shared" si="3"/>
        <v>0</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784</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f>368636.58+42315</f>
        <v>410951.58</v>
      </c>
      <c r="E131" s="938">
        <v>0</v>
      </c>
      <c r="F131" s="939">
        <f t="shared" si="3"/>
        <v>410951.58</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677509.58000000007</v>
      </c>
      <c r="E136" s="337">
        <f>SUM(E124:E135)</f>
        <v>0</v>
      </c>
      <c r="F136" s="338">
        <f>SUM(F124:F135)</f>
        <v>677509.58000000007</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785</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786</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16" t="s">
        <v>14</v>
      </c>
      <c r="B1" s="1316"/>
      <c r="C1" s="1316"/>
      <c r="D1" s="1316"/>
      <c r="E1" s="18"/>
      <c r="F1" s="19"/>
    </row>
    <row r="2" spans="1:10" ht="33.6" customHeight="1" thickBot="1">
      <c r="A2" s="1323" t="s">
        <v>15</v>
      </c>
      <c r="B2" s="1323"/>
      <c r="C2" s="1323"/>
      <c r="D2" s="1323"/>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94" t="s">
        <v>788</v>
      </c>
      <c r="C5" s="1295"/>
      <c r="D5" s="1296"/>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15" t="s">
        <v>51</v>
      </c>
      <c r="B36" s="1315"/>
      <c r="C36" s="1315"/>
      <c r="D36" s="1315"/>
      <c r="E36" s="611"/>
      <c r="F36" s="24"/>
      <c r="K36" s="532"/>
    </row>
    <row r="37" spans="1:21" ht="44.45" customHeight="1">
      <c r="A37" s="1314" t="s">
        <v>750</v>
      </c>
      <c r="B37" s="1314"/>
      <c r="C37" s="1314"/>
      <c r="D37" s="1314"/>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76" t="s">
        <v>761</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754</v>
      </c>
      <c r="C48" s="1185"/>
      <c r="D48" s="1185">
        <v>1000000</v>
      </c>
      <c r="E48" s="793">
        <f t="shared" ref="E48:E51" si="2">C48+D48</f>
        <v>1000000</v>
      </c>
      <c r="H48" s="24"/>
    </row>
    <row r="49" spans="1:8" ht="42">
      <c r="A49" s="1191" t="s">
        <v>43</v>
      </c>
      <c r="B49" s="794" t="s">
        <v>755</v>
      </c>
      <c r="C49" s="792"/>
      <c r="D49" s="792">
        <v>510000</v>
      </c>
      <c r="E49" s="793">
        <f t="shared" si="2"/>
        <v>510000</v>
      </c>
      <c r="H49" s="24"/>
    </row>
    <row r="50" spans="1:8" ht="42">
      <c r="A50" s="1191" t="s">
        <v>43</v>
      </c>
      <c r="B50" s="794" t="s">
        <v>756</v>
      </c>
      <c r="C50" s="792"/>
      <c r="D50" s="792">
        <v>674484</v>
      </c>
      <c r="E50" s="793">
        <f t="shared" si="2"/>
        <v>674484</v>
      </c>
      <c r="H50" s="24"/>
    </row>
    <row r="51" spans="1:8" ht="42">
      <c r="A51" s="1191" t="s">
        <v>759</v>
      </c>
      <c r="B51" s="794" t="s">
        <v>757</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760</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758</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307" t="s">
        <v>762</v>
      </c>
      <c r="B62" s="1308"/>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752</v>
      </c>
      <c r="B69" s="1311" t="str">
        <f>B3</f>
        <v>Date Updated:   05.5.21    BY:  EN</v>
      </c>
      <c r="C69" s="1312"/>
      <c r="D69" s="1312"/>
      <c r="E69" s="1313"/>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324" t="s">
        <v>767</v>
      </c>
      <c r="B102" s="1324"/>
      <c r="C102" s="1324"/>
      <c r="D102" s="1324"/>
      <c r="E102" s="1324"/>
      <c r="F102" s="1324"/>
      <c r="G102" s="1324"/>
      <c r="H102" s="1324"/>
      <c r="I102" s="1324"/>
      <c r="J102" s="1324"/>
      <c r="K102" s="1324"/>
      <c r="L102" s="1324"/>
      <c r="M102" s="1324"/>
      <c r="N102" s="1324"/>
      <c r="O102" s="1324"/>
      <c r="P102" s="1324"/>
      <c r="Q102" s="1324"/>
      <c r="R102" s="1324"/>
    </row>
    <row r="103" spans="1:54" ht="20.100000000000001" customHeight="1">
      <c r="A103" s="1322" t="s">
        <v>72</v>
      </c>
      <c r="B103" s="1322"/>
      <c r="C103" s="1322"/>
      <c r="D103" s="1322"/>
      <c r="E103" s="1322"/>
      <c r="F103" s="1322"/>
      <c r="G103" s="1322"/>
      <c r="H103" s="1322"/>
      <c r="I103" s="1322"/>
      <c r="J103" s="1322"/>
      <c r="K103" s="1322"/>
      <c r="L103" s="1322"/>
      <c r="M103" s="1322"/>
      <c r="N103" s="1322"/>
      <c r="O103" s="1322"/>
      <c r="P103" s="1322"/>
      <c r="Q103" s="1322"/>
      <c r="R103" s="1322"/>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22" t="s">
        <v>74</v>
      </c>
      <c r="B105" s="1322"/>
      <c r="C105" s="1322"/>
      <c r="D105" s="1322"/>
      <c r="E105" s="1322"/>
      <c r="F105" s="1322"/>
      <c r="G105" s="1322"/>
      <c r="H105" s="1322"/>
      <c r="I105" s="1322"/>
      <c r="J105" s="1322"/>
      <c r="K105" s="1322"/>
      <c r="L105" s="1322"/>
      <c r="M105" s="1322"/>
      <c r="N105" s="1322"/>
      <c r="O105" s="1322"/>
      <c r="P105" s="1322"/>
      <c r="Q105" s="1322"/>
      <c r="R105" s="1322"/>
    </row>
    <row r="106" spans="1:54" ht="20.100000000000001" customHeight="1">
      <c r="A106" s="1322"/>
      <c r="B106" s="1322"/>
      <c r="C106" s="1322"/>
      <c r="D106" s="1322"/>
      <c r="E106" s="1322"/>
      <c r="F106" s="1322"/>
      <c r="G106" s="1322"/>
    </row>
    <row r="107" spans="1:54" ht="32.450000000000003" customHeight="1" thickBot="1">
      <c r="E107" s="603"/>
      <c r="F107" s="603"/>
      <c r="G107" s="603"/>
      <c r="H107" s="27"/>
      <c r="I107" s="27"/>
      <c r="J107" s="27"/>
      <c r="K107" s="27"/>
    </row>
    <row r="108" spans="1:54" ht="43.35" customHeight="1" thickBot="1">
      <c r="A108" s="58" t="s">
        <v>763</v>
      </c>
      <c r="B108" s="1317" t="s">
        <v>766</v>
      </c>
      <c r="C108" s="1318"/>
      <c r="D108" s="1319"/>
      <c r="E108" s="1320" t="s">
        <v>75</v>
      </c>
      <c r="F108" s="1320"/>
      <c r="G108" s="1320"/>
      <c r="H108" s="1320"/>
      <c r="I108" s="1320"/>
      <c r="J108" s="1320"/>
      <c r="K108" s="1320"/>
      <c r="L108" s="1320"/>
      <c r="M108" s="1320"/>
      <c r="N108" s="1320"/>
      <c r="O108" s="1320"/>
      <c r="P108" s="1320"/>
      <c r="Q108" s="1320"/>
      <c r="R108" s="1320"/>
      <c r="S108" s="1321"/>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5" t="s">
        <v>76</v>
      </c>
      <c r="U109" s="38"/>
      <c r="V109" s="55">
        <v>20</v>
      </c>
      <c r="W109" s="773">
        <v>21</v>
      </c>
      <c r="X109" s="773">
        <v>22</v>
      </c>
      <c r="Y109" s="73"/>
      <c r="Z109" s="773">
        <v>23</v>
      </c>
      <c r="AA109" s="773">
        <v>24</v>
      </c>
      <c r="AB109" s="774">
        <v>25</v>
      </c>
      <c r="AC109" s="40"/>
      <c r="AD109" s="37"/>
    </row>
    <row r="110" spans="1:54" ht="29.45" customHeight="1" thickBot="1">
      <c r="A110" s="67" t="s">
        <v>77</v>
      </c>
      <c r="B110" s="1276" t="s">
        <v>78</v>
      </c>
      <c r="C110" s="1277"/>
      <c r="D110" s="1278"/>
      <c r="E110" s="39"/>
      <c r="F110" s="1280" t="s">
        <v>79</v>
      </c>
      <c r="G110" s="1280"/>
      <c r="H110" s="1280"/>
      <c r="I110" s="1280"/>
      <c r="J110" s="1280"/>
      <c r="K110" s="1280"/>
      <c r="L110" s="1280"/>
      <c r="M110" s="1280"/>
      <c r="N110" s="1280"/>
      <c r="O110" s="1280"/>
      <c r="P110" s="1280"/>
      <c r="Q110" s="1281" t="s">
        <v>80</v>
      </c>
      <c r="R110" s="1282"/>
      <c r="S110" s="1283"/>
      <c r="T110" s="1306"/>
      <c r="U110" s="41"/>
      <c r="V110" s="42"/>
      <c r="W110" s="43"/>
      <c r="X110" s="44"/>
      <c r="Y110" s="74"/>
      <c r="Z110" s="1286"/>
      <c r="AA110" s="1287"/>
      <c r="AB110" s="1288"/>
      <c r="AC110" s="22"/>
      <c r="AD110" s="733" t="s">
        <v>81</v>
      </c>
      <c r="AF110" s="36"/>
      <c r="AG110" s="37"/>
    </row>
    <row r="111" spans="1:54" ht="66" customHeight="1" thickBot="1">
      <c r="A111" s="45"/>
      <c r="B111" s="1289" t="s">
        <v>82</v>
      </c>
      <c r="C111" s="1290"/>
      <c r="D111" s="1291"/>
      <c r="E111" s="1289" t="s">
        <v>83</v>
      </c>
      <c r="F111" s="1290"/>
      <c r="G111" s="1291"/>
      <c r="H111" s="1289" t="s">
        <v>84</v>
      </c>
      <c r="I111" s="1290"/>
      <c r="J111" s="1291"/>
      <c r="K111" s="1300" t="s">
        <v>85</v>
      </c>
      <c r="L111" s="1300"/>
      <c r="M111" s="1300"/>
      <c r="N111" s="1301" t="s">
        <v>86</v>
      </c>
      <c r="O111" s="1302"/>
      <c r="P111" s="1303"/>
      <c r="Q111" s="1301" t="s">
        <v>87</v>
      </c>
      <c r="R111" s="1302"/>
      <c r="S111" s="1303"/>
      <c r="T111" s="1284" t="s">
        <v>88</v>
      </c>
      <c r="U111" s="26"/>
      <c r="V111" s="1297" t="s">
        <v>89</v>
      </c>
      <c r="W111" s="1298"/>
      <c r="X111" s="1304"/>
      <c r="Y111" s="69"/>
      <c r="Z111" s="1297" t="s">
        <v>90</v>
      </c>
      <c r="AA111" s="1298"/>
      <c r="AB111" s="1299"/>
      <c r="AC111" s="27"/>
      <c r="AD111" s="54" t="s">
        <v>91</v>
      </c>
      <c r="AF111" s="22"/>
      <c r="AG111" s="24"/>
      <c r="AI111" s="1292" t="s">
        <v>92</v>
      </c>
      <c r="AJ111" s="1292"/>
      <c r="AK111" s="1292"/>
      <c r="AL111" s="1292"/>
      <c r="AM111" s="1292"/>
      <c r="AN111" s="1292"/>
      <c r="AO111" s="1292"/>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285"/>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79" t="s">
        <v>98</v>
      </c>
      <c r="AJ113" s="1279"/>
      <c r="AK113" s="1279"/>
      <c r="AL113" s="1279"/>
      <c r="AM113" s="1279"/>
      <c r="AN113" s="1279"/>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79" t="s">
        <v>99</v>
      </c>
      <c r="AJ114" s="1279"/>
      <c r="AK114" s="1279"/>
      <c r="AL114" s="1279"/>
      <c r="AM114" s="1279"/>
      <c r="AN114" s="1279"/>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79" t="s">
        <v>100</v>
      </c>
      <c r="AJ115" s="1279"/>
      <c r="AK115" s="1279"/>
      <c r="AL115" s="1279"/>
      <c r="AM115" s="1279"/>
      <c r="AN115" s="1279"/>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75" t="s">
        <v>101</v>
      </c>
      <c r="AJ120" s="1275"/>
      <c r="AK120" s="1275"/>
      <c r="AL120" s="1275"/>
      <c r="AM120" s="1275"/>
      <c r="AN120" s="1275"/>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75" t="s">
        <v>765</v>
      </c>
      <c r="AJ122" s="1275"/>
      <c r="AK122" s="1275"/>
      <c r="AL122" s="1275"/>
      <c r="AM122" s="1275"/>
      <c r="AN122" s="1275"/>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10" t="s">
        <v>103</v>
      </c>
      <c r="B145" s="1310"/>
      <c r="C145" s="1310"/>
      <c r="D145" s="1310"/>
      <c r="E145" s="96"/>
    </row>
    <row r="146" spans="1:5">
      <c r="A146" s="1309" t="s">
        <v>104</v>
      </c>
      <c r="B146" s="1309"/>
      <c r="C146" s="1309"/>
      <c r="D146" s="1309"/>
    </row>
    <row r="147" spans="1:5">
      <c r="A147" s="1293" t="s">
        <v>105</v>
      </c>
      <c r="B147" s="1293"/>
      <c r="C147" s="1293"/>
      <c r="D147" s="1293"/>
      <c r="E147" s="1293"/>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11" colorId="22" zoomScale="70" zoomScaleNormal="70" zoomScaleSheetLayoutView="51" zoomScalePageLayoutView="60" workbookViewId="0">
      <selection activeCell="C127" sqref="C12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742</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32</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789</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0.18160608812443418</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2820</v>
      </c>
      <c r="E44" s="140">
        <f>+'EXHIBIT C'!F10</f>
        <v>2904</v>
      </c>
      <c r="F44" s="141">
        <f t="shared" ref="F44:F50" si="0">IF(D44=0,"0",(E44/D44-1))</f>
        <v>2.9787234042553123E-2</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28161.022428773489</v>
      </c>
      <c r="E45" s="144">
        <f>+'EXHIBIT C'!F11</f>
        <v>29005</v>
      </c>
      <c r="F45" s="823">
        <f t="shared" si="0"/>
        <v>2.9969706297459542E-2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11272.987176792096</v>
      </c>
      <c r="E46" s="827">
        <f>+'EXHIBIT C'!F12</f>
        <v>11611</v>
      </c>
      <c r="F46" s="823">
        <f t="shared" si="0"/>
        <v>2.9984317191789067E-2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9903.3123379029275</v>
      </c>
      <c r="E47" s="827">
        <f>+'EXHIBIT C'!F13</f>
        <v>9990</v>
      </c>
      <c r="F47" s="823">
        <f t="shared" si="0"/>
        <v>8.7534007955392124E-3</v>
      </c>
      <c r="G47" s="824"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1128.4848484848485</v>
      </c>
      <c r="E48" s="827">
        <f>+'EXHIBIT C'!F14</f>
        <v>1161</v>
      </c>
      <c r="F48" s="823">
        <f t="shared" si="0"/>
        <v>2.8813104189044036E-2</v>
      </c>
      <c r="G48" s="824"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378.44444444444446</v>
      </c>
      <c r="E49" s="830">
        <f>+'EXHIBIT C'!F15</f>
        <v>389</v>
      </c>
      <c r="F49" s="831">
        <f t="shared" si="0"/>
        <v>2.7891955372871369E-2</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53664.251236397809</v>
      </c>
      <c r="E50" s="147">
        <f>+'EXHIBIT C'!F17</f>
        <v>55060</v>
      </c>
      <c r="F50" s="148">
        <f t="shared" si="0"/>
        <v>2.6008911546230973E-2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0</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198.39361487169126</v>
      </c>
      <c r="E69" s="161">
        <f>+'EXHIBIT C'!D20</f>
        <v>207</v>
      </c>
      <c r="F69" s="834">
        <f t="shared" si="2"/>
        <v>4.338035341447255E-2</v>
      </c>
      <c r="G69" s="835" t="str">
        <f t="shared" ref="G69:G74" si="3">IF(OR(F69&gt;5%, F69&lt;-5%),"YES","NO")</f>
        <v>NO</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108.20054656295986</v>
      </c>
      <c r="E70" s="837">
        <f>+'EXHIBIT C'!D21</f>
        <v>113</v>
      </c>
      <c r="F70" s="834">
        <f t="shared" si="2"/>
        <v>4.4357016572438734E-2</v>
      </c>
      <c r="G70" s="835" t="str">
        <f t="shared" si="3"/>
        <v>NO</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86.40978140051871</v>
      </c>
      <c r="E71" s="837">
        <f>+'EXHIBIT C'!D22</f>
        <v>90</v>
      </c>
      <c r="F71" s="834">
        <f t="shared" si="2"/>
        <v>4.1548752251093335E-2</v>
      </c>
      <c r="G71" s="835"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11.515151515151514</v>
      </c>
      <c r="E72" s="837">
        <f>+'EXHIBIT C'!D23</f>
        <v>12</v>
      </c>
      <c r="F72" s="834">
        <f t="shared" si="2"/>
        <v>4.2105263157894868E-2</v>
      </c>
      <c r="G72" s="835" t="str">
        <f t="shared" si="3"/>
        <v>NO</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11.555555555555555</v>
      </c>
      <c r="E73" s="839">
        <f>+'EXHIBIT C'!D24</f>
        <v>12</v>
      </c>
      <c r="F73" s="840">
        <f t="shared" si="2"/>
        <v>3.8461538461538547E-2</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416.07464990587687</v>
      </c>
      <c r="E74" s="163">
        <f>SUM(E68:E73)</f>
        <v>434</v>
      </c>
      <c r="F74" s="164">
        <f t="shared" si="2"/>
        <v>4.3082052939726445E-2</v>
      </c>
      <c r="G74" s="165" t="str">
        <f t="shared" si="3"/>
        <v>NO</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12343150</v>
      </c>
      <c r="E102" s="846">
        <f>+'EXHIBIT D'!G75</f>
        <v>12343150</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200502</v>
      </c>
      <c r="E103" s="846">
        <f>'EXHIBIT D'!G77</f>
        <v>200502</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2397283</v>
      </c>
      <c r="E104" s="846">
        <f>'EXHIBIT D'!G81</f>
        <v>2397283</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14940935</v>
      </c>
      <c r="E106" s="179">
        <f t="shared" ref="E106:F106" si="4">SUM(E102:E104)</f>
        <v>14940935</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748</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5994567.0099999998</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5994567.0099999998</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13843794.220000001</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13893794</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-49999.779999999329</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50000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0.22000000067055225</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91.789944903581272</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t="str">
        <f>IF('EXHIBIT G'!D126=0,"No Credit Hours or Not Applicable",('EXHIBIT G'!D126/'EXHIBIT C'!D19))</f>
        <v>No Credit Hours or Not Applicable</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36" sqref="E36"/>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769</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Florida Gateway College</v>
      </c>
      <c r="D8" s="1053"/>
      <c r="E8" s="1053"/>
      <c r="F8" s="434"/>
      <c r="G8" s="434"/>
    </row>
    <row r="9" spans="2:7" ht="25.35" customHeight="1">
      <c r="D9" s="151"/>
      <c r="E9" s="151"/>
      <c r="F9" s="151"/>
      <c r="G9" s="151"/>
    </row>
    <row r="10" spans="2:7" ht="41.45"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v>-3676869.6</v>
      </c>
    </row>
    <row r="14" spans="2:7" ht="25.35" customHeight="1">
      <c r="B14" s="37" t="s">
        <v>196</v>
      </c>
      <c r="D14" s="114"/>
      <c r="E14" s="723">
        <f>12903794.22+940000</f>
        <v>13843794.220000001</v>
      </c>
    </row>
    <row r="15" spans="2:7" ht="25.35" customHeight="1">
      <c r="B15" s="114"/>
      <c r="C15" s="24"/>
      <c r="D15" s="114"/>
      <c r="E15" s="203"/>
    </row>
    <row r="16" spans="2:7" ht="25.35" customHeight="1">
      <c r="B16" s="24" t="s">
        <v>771</v>
      </c>
      <c r="C16" s="114"/>
      <c r="D16" s="35"/>
      <c r="E16" s="724">
        <f>+E14+E13</f>
        <v>10166924.620000001</v>
      </c>
    </row>
    <row r="17" spans="2:7" ht="25.35" customHeight="1">
      <c r="B17" s="114"/>
      <c r="C17" s="35"/>
      <c r="D17" s="114"/>
      <c r="E17" s="204"/>
    </row>
    <row r="18" spans="2:7" ht="25.35" customHeight="1">
      <c r="B18" s="37" t="s">
        <v>197</v>
      </c>
      <c r="C18" s="114"/>
      <c r="D18" s="114"/>
      <c r="E18" s="216">
        <f>+'EXHIBIT D'!G143-SUM(+'EXHIBIT D'!G132+'EXHIBIT D'!G133+'EXHIBIT D'!G134+'EXHIBIT D'!G135)</f>
        <v>22341699</v>
      </c>
      <c r="G18" s="205"/>
    </row>
    <row r="19" spans="2:7" ht="25.35" customHeight="1">
      <c r="B19" s="37" t="s">
        <v>198</v>
      </c>
      <c r="D19" s="114"/>
      <c r="E19" s="724">
        <f>+'EXHIBIT D'!G132+'EXHIBIT D'!G133+'EXHIBIT D'!G134+'EXHIBIT D'!G135</f>
        <v>500000</v>
      </c>
    </row>
    <row r="20" spans="2:7" ht="25.35" customHeight="1">
      <c r="B20" s="114"/>
      <c r="D20" s="114"/>
      <c r="E20" s="211"/>
    </row>
    <row r="21" spans="2:7" ht="25.35" customHeight="1">
      <c r="B21" s="37" t="s">
        <v>199</v>
      </c>
      <c r="C21" s="114"/>
      <c r="D21" s="114"/>
      <c r="E21" s="725">
        <f>+E19+E18</f>
        <v>22841699</v>
      </c>
    </row>
    <row r="22" spans="2:7" ht="25.35" customHeight="1">
      <c r="B22" s="114"/>
      <c r="C22" s="114"/>
      <c r="D22" s="114"/>
      <c r="E22" s="211"/>
    </row>
    <row r="23" spans="2:7" ht="25.35" customHeight="1">
      <c r="B23" s="114" t="s">
        <v>200</v>
      </c>
      <c r="C23" s="114"/>
      <c r="D23" s="114"/>
      <c r="E23" s="725">
        <f>+E21+E16</f>
        <v>33008623.620000001</v>
      </c>
    </row>
    <row r="24" spans="2:7" ht="25.35" customHeight="1">
      <c r="B24" s="114"/>
      <c r="C24" s="114"/>
      <c r="D24" s="114"/>
      <c r="E24" s="211"/>
    </row>
    <row r="25" spans="2:7" ht="25.35" customHeight="1">
      <c r="B25" s="37" t="s">
        <v>201</v>
      </c>
      <c r="C25" s="114"/>
      <c r="D25" s="114"/>
      <c r="E25" s="217">
        <f>'EXHIBIT D'!G256-SUM(+'EXHIBIT D'!G229+'EXHIBIT D'!G230+'EXHIBIT D'!G231+'EXHIBIT D'!G232+'EXHIBIT D'!G233)</f>
        <v>22995656.690000001</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22995656.690000001</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10012966.93</v>
      </c>
      <c r="E32" s="206"/>
    </row>
    <row r="33" spans="2:10" ht="25.35" customHeight="1">
      <c r="B33" s="24" t="s">
        <v>205</v>
      </c>
      <c r="C33" s="114"/>
      <c r="D33" s="727">
        <f>+'EXHIBIT D'!G187</f>
        <v>50000</v>
      </c>
      <c r="E33" s="206"/>
      <c r="J33" s="151"/>
    </row>
    <row r="34" spans="2:10" ht="25.35" customHeight="1">
      <c r="B34" s="114"/>
      <c r="D34" s="114"/>
      <c r="E34" s="206"/>
      <c r="J34" s="208"/>
    </row>
    <row r="35" spans="2:10" ht="25.35" customHeight="1">
      <c r="B35" s="37" t="s">
        <v>773</v>
      </c>
      <c r="C35" s="114"/>
      <c r="D35" s="114"/>
      <c r="E35" s="209">
        <f>+D32+D33</f>
        <v>10062966.93</v>
      </c>
      <c r="J35" s="151"/>
    </row>
    <row r="36" spans="2:10" ht="25.35" customHeight="1">
      <c r="B36" s="37" t="s">
        <v>774</v>
      </c>
      <c r="C36" s="114"/>
      <c r="D36" s="114"/>
      <c r="E36" s="725">
        <f>-'EXHIBIT D'!G272</f>
        <v>13893794</v>
      </c>
      <c r="J36" s="210"/>
    </row>
    <row r="37" spans="2:10" ht="25.35" customHeight="1">
      <c r="D37" s="114"/>
      <c r="E37" s="209"/>
      <c r="J37" s="151"/>
    </row>
    <row r="38" spans="2:10" ht="25.35" customHeight="1">
      <c r="B38" s="114" t="s">
        <v>775</v>
      </c>
      <c r="D38" s="114"/>
      <c r="E38" s="724">
        <f>+E35-E36</f>
        <v>-3830827.0700000003</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5994567.0099999998</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0.18160608812443418</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7" zoomScale="50" zoomScaleNormal="50" zoomScalePageLayoutView="50" workbookViewId="0">
      <selection activeCell="A7" sqref="A1:XFD1048576"/>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779</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Florida Gateway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4.59</v>
      </c>
      <c r="D14" s="1215">
        <v>9.18</v>
      </c>
      <c r="E14" s="1215">
        <v>9.18</v>
      </c>
      <c r="F14" s="1215">
        <v>4.59</v>
      </c>
      <c r="G14" s="857">
        <f>SUM(B14:F14)</f>
        <v>119.33000000000001</v>
      </c>
      <c r="H14" s="477">
        <f>G14*30</f>
        <v>3579.9000000000005</v>
      </c>
      <c r="I14" s="24"/>
    </row>
    <row r="15" spans="1:18" s="37" customFormat="1" ht="20.100000000000001" customHeight="1">
      <c r="A15" s="114" t="s">
        <v>223</v>
      </c>
      <c r="B15" s="1216">
        <v>78.94</v>
      </c>
      <c r="C15" s="1216">
        <v>5.53</v>
      </c>
      <c r="D15" s="1216">
        <v>6.25</v>
      </c>
      <c r="E15" s="1216">
        <v>7.89</v>
      </c>
      <c r="F15" s="1216">
        <v>3.71</v>
      </c>
      <c r="G15" s="857">
        <f>SUM(B15:F15)</f>
        <v>102.32</v>
      </c>
      <c r="H15" s="440">
        <f>G15*30</f>
        <v>3069.6</v>
      </c>
      <c r="I15" s="24"/>
    </row>
    <row r="16" spans="1:18" s="37" customFormat="1" ht="20.100000000000001" customHeight="1" thickBot="1">
      <c r="A16" s="35" t="s">
        <v>87</v>
      </c>
      <c r="B16" s="1217">
        <v>69.900000000000006</v>
      </c>
      <c r="C16" s="1217">
        <v>6.99</v>
      </c>
      <c r="D16" s="1218"/>
      <c r="E16" s="1217">
        <v>3.5</v>
      </c>
      <c r="F16" s="1217">
        <v>3.5</v>
      </c>
      <c r="G16" s="441">
        <f>SUM(B16:F16)</f>
        <v>83.89</v>
      </c>
      <c r="H16" s="858">
        <f>G16*30</f>
        <v>2516.6999999999998</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v>275.37</v>
      </c>
      <c r="D29" s="1215">
        <v>18.36</v>
      </c>
      <c r="E29" s="680">
        <f>D14</f>
        <v>9.18</v>
      </c>
      <c r="F29" s="1215">
        <v>36.72</v>
      </c>
      <c r="G29" s="1215">
        <v>18.36</v>
      </c>
      <c r="H29" s="451">
        <f>SUM(B29:G29)</f>
        <v>449.78000000000009</v>
      </c>
      <c r="I29" s="471">
        <f>H29*30</f>
        <v>13493.400000000003</v>
      </c>
      <c r="J29" s="24"/>
    </row>
    <row r="30" spans="1:11" s="37" customFormat="1" ht="20.100000000000001" customHeight="1">
      <c r="A30" s="114" t="str">
        <f t="shared" si="0"/>
        <v>LOWER LEVEL - CREDIT (A &amp; P, PSV, DEVELOPMENTAL EDUCATION AND EPI)</v>
      </c>
      <c r="B30" s="861">
        <f t="shared" si="0"/>
        <v>78.94</v>
      </c>
      <c r="C30" s="1219">
        <v>236.82</v>
      </c>
      <c r="D30" s="1219">
        <v>22.1</v>
      </c>
      <c r="E30" s="862">
        <f>D15</f>
        <v>6.25</v>
      </c>
      <c r="F30" s="1219">
        <v>31.58</v>
      </c>
      <c r="G30" s="1219">
        <v>14.88</v>
      </c>
      <c r="H30" s="857">
        <f>SUM(B30:G30)</f>
        <v>390.57</v>
      </c>
      <c r="I30" s="440">
        <f>H30*30</f>
        <v>11717.1</v>
      </c>
    </row>
    <row r="31" spans="1:11" s="37" customFormat="1" ht="20.100000000000001" customHeight="1" thickBot="1">
      <c r="A31" s="114" t="str">
        <f t="shared" si="0"/>
        <v>CAREER CERTIFICATE AND APPLIED TECHNOLOGY DIPLOMA</v>
      </c>
      <c r="B31" s="530">
        <f t="shared" si="0"/>
        <v>69.900000000000006</v>
      </c>
      <c r="C31" s="1216">
        <v>209.7</v>
      </c>
      <c r="D31" s="1216">
        <v>27.96</v>
      </c>
      <c r="E31" s="408"/>
      <c r="F31" s="1216">
        <v>13.98</v>
      </c>
      <c r="G31" s="1216">
        <v>13.98</v>
      </c>
      <c r="H31" s="441">
        <f>SUM(B31:G31)</f>
        <v>335.52000000000004</v>
      </c>
      <c r="I31" s="858">
        <f>H31*30</f>
        <v>10065.6</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780</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19" zoomScale="70" zoomScaleNormal="70" zoomScaleSheetLayoutView="50" zoomScalePageLayoutView="50" workbookViewId="0">
      <selection activeCell="A19" sqref="A1:XFD1048576"/>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781</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Florida Gateway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2914</v>
      </c>
      <c r="E10" s="684">
        <v>10</v>
      </c>
      <c r="F10" s="685">
        <f t="shared" ref="F10:F15" si="0">+D10-E10</f>
        <v>2904</v>
      </c>
      <c r="G10" s="685">
        <f>'EXHIBIT B'!B14</f>
        <v>91.79</v>
      </c>
      <c r="H10" s="686">
        <f>ROUND(+F10*G10,0)</f>
        <v>266558</v>
      </c>
      <c r="I10" s="151"/>
      <c r="J10" s="151"/>
    </row>
    <row r="11" spans="1:10" ht="20.100000000000001" customHeight="1">
      <c r="A11" s="868" t="s">
        <v>216</v>
      </c>
      <c r="B11" s="868" t="s">
        <v>140</v>
      </c>
      <c r="C11" s="869" t="s">
        <v>244</v>
      </c>
      <c r="D11" s="867">
        <v>43305</v>
      </c>
      <c r="E11" s="867">
        <v>14300</v>
      </c>
      <c r="F11" s="870">
        <f t="shared" si="0"/>
        <v>29005</v>
      </c>
      <c r="G11" s="870">
        <f>+'EXHIBIT B'!B15</f>
        <v>78.94</v>
      </c>
      <c r="H11" s="871">
        <f t="shared" ref="H11:H15" si="1">ROUND(+F11*G11,0)</f>
        <v>2289655</v>
      </c>
      <c r="I11" s="151"/>
      <c r="J11" s="151"/>
    </row>
    <row r="12" spans="1:10" ht="20.100000000000001" customHeight="1">
      <c r="A12" s="868" t="s">
        <v>216</v>
      </c>
      <c r="B12" s="868" t="s">
        <v>141</v>
      </c>
      <c r="C12" s="869" t="s">
        <v>245</v>
      </c>
      <c r="D12" s="867">
        <v>12261</v>
      </c>
      <c r="E12" s="867">
        <v>650</v>
      </c>
      <c r="F12" s="870">
        <f t="shared" si="0"/>
        <v>11611</v>
      </c>
      <c r="G12" s="870">
        <f>+'EXHIBIT B'!B15</f>
        <v>78.94</v>
      </c>
      <c r="H12" s="871">
        <f t="shared" si="1"/>
        <v>916572</v>
      </c>
      <c r="I12" s="151"/>
      <c r="J12" s="151"/>
    </row>
    <row r="13" spans="1:10" ht="20.100000000000001" customHeight="1">
      <c r="A13" s="868" t="s">
        <v>216</v>
      </c>
      <c r="B13" s="868" t="s">
        <v>87</v>
      </c>
      <c r="C13" s="869" t="s">
        <v>246</v>
      </c>
      <c r="D13" s="872">
        <f>337*30</f>
        <v>10110</v>
      </c>
      <c r="E13" s="872">
        <v>120</v>
      </c>
      <c r="F13" s="870">
        <f t="shared" si="0"/>
        <v>9990</v>
      </c>
      <c r="G13" s="870">
        <f>+'EXHIBIT B'!B16</f>
        <v>69.900000000000006</v>
      </c>
      <c r="H13" s="871">
        <f t="shared" si="1"/>
        <v>698301</v>
      </c>
      <c r="I13" s="151"/>
      <c r="J13" s="151"/>
    </row>
    <row r="14" spans="1:10" ht="20.100000000000001" customHeight="1">
      <c r="A14" s="868" t="s">
        <v>216</v>
      </c>
      <c r="B14" s="868" t="s">
        <v>142</v>
      </c>
      <c r="C14" s="869" t="s">
        <v>247</v>
      </c>
      <c r="D14" s="867">
        <v>1281</v>
      </c>
      <c r="E14" s="867">
        <v>120</v>
      </c>
      <c r="F14" s="870">
        <f t="shared" si="0"/>
        <v>1161</v>
      </c>
      <c r="G14" s="870">
        <f>+'EXHIBIT B'!B15</f>
        <v>78.94</v>
      </c>
      <c r="H14" s="871">
        <f t="shared" si="1"/>
        <v>91649</v>
      </c>
      <c r="I14" s="151"/>
      <c r="J14" s="151"/>
    </row>
    <row r="15" spans="1:10" ht="20.100000000000001" customHeight="1" thickBot="1">
      <c r="A15" s="873" t="s">
        <v>216</v>
      </c>
      <c r="B15" s="873" t="s">
        <v>143</v>
      </c>
      <c r="C15" s="874">
        <v>40160</v>
      </c>
      <c r="D15" s="875">
        <v>389</v>
      </c>
      <c r="E15" s="875">
        <v>0</v>
      </c>
      <c r="F15" s="876">
        <f t="shared" si="0"/>
        <v>389</v>
      </c>
      <c r="G15" s="876">
        <f>+'EXHIBIT B'!B15</f>
        <v>78.94</v>
      </c>
      <c r="H15" s="877">
        <f t="shared" si="1"/>
        <v>30708</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70260</v>
      </c>
      <c r="E17" s="389">
        <f>SUM(E10:E15)</f>
        <v>15200</v>
      </c>
      <c r="F17" s="390">
        <f>SUM(F10:F15)</f>
        <v>55060</v>
      </c>
      <c r="G17" s="390"/>
      <c r="H17" s="391">
        <f>SUM(H10:H15)</f>
        <v>4293443</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0</v>
      </c>
      <c r="E19" s="880">
        <f>'EXHIBIT B'!C29</f>
        <v>275.37</v>
      </c>
      <c r="F19" s="881">
        <f t="shared" ref="F19:F24" si="2">ROUND(+D19*E19,0)</f>
        <v>0</v>
      </c>
      <c r="G19" s="393"/>
      <c r="H19" s="393"/>
    </row>
    <row r="20" spans="1:10" ht="20.100000000000001" customHeight="1">
      <c r="A20" s="882" t="s">
        <v>231</v>
      </c>
      <c r="B20" s="882" t="s">
        <v>140</v>
      </c>
      <c r="C20" s="883" t="s">
        <v>251</v>
      </c>
      <c r="D20" s="890">
        <v>207</v>
      </c>
      <c r="E20" s="884">
        <f>+'EXHIBIT B'!C30</f>
        <v>236.82</v>
      </c>
      <c r="F20" s="885">
        <f t="shared" si="2"/>
        <v>49022</v>
      </c>
      <c r="G20" s="394"/>
      <c r="H20" s="394"/>
    </row>
    <row r="21" spans="1:10" ht="20.100000000000001" customHeight="1">
      <c r="A21" s="882" t="s">
        <v>231</v>
      </c>
      <c r="B21" s="882" t="s">
        <v>141</v>
      </c>
      <c r="C21" s="883" t="s">
        <v>252</v>
      </c>
      <c r="D21" s="890">
        <v>113</v>
      </c>
      <c r="E21" s="884">
        <f>+'EXHIBIT B'!C30</f>
        <v>236.82</v>
      </c>
      <c r="F21" s="885">
        <f t="shared" si="2"/>
        <v>26761</v>
      </c>
      <c r="G21" s="394"/>
      <c r="H21" s="394"/>
    </row>
    <row r="22" spans="1:10" ht="20.100000000000001" customHeight="1">
      <c r="A22" s="882" t="s">
        <v>231</v>
      </c>
      <c r="B22" s="882" t="s">
        <v>87</v>
      </c>
      <c r="C22" s="883" t="s">
        <v>253</v>
      </c>
      <c r="D22" s="890">
        <v>90</v>
      </c>
      <c r="E22" s="884">
        <f>+'EXHIBIT B'!C31</f>
        <v>209.7</v>
      </c>
      <c r="F22" s="885">
        <f t="shared" si="2"/>
        <v>18873</v>
      </c>
      <c r="G22" s="394"/>
      <c r="H22" s="394"/>
    </row>
    <row r="23" spans="1:10" ht="20.100000000000001" customHeight="1">
      <c r="A23" s="882" t="s">
        <v>231</v>
      </c>
      <c r="B23" s="882" t="s">
        <v>142</v>
      </c>
      <c r="C23" s="883" t="s">
        <v>254</v>
      </c>
      <c r="D23" s="890">
        <v>12</v>
      </c>
      <c r="E23" s="884">
        <f>+'EXHIBIT B'!C30</f>
        <v>236.82</v>
      </c>
      <c r="F23" s="885">
        <f t="shared" si="2"/>
        <v>2842</v>
      </c>
      <c r="G23" s="394"/>
      <c r="H23" s="394"/>
    </row>
    <row r="24" spans="1:10" ht="20.100000000000001" customHeight="1" thickBot="1">
      <c r="A24" s="751" t="s">
        <v>231</v>
      </c>
      <c r="B24" s="751" t="s">
        <v>143</v>
      </c>
      <c r="C24" s="752">
        <v>40360</v>
      </c>
      <c r="D24" s="1221">
        <v>12</v>
      </c>
      <c r="E24" s="753">
        <f>+'EXHIBIT B'!C30</f>
        <v>236.82</v>
      </c>
      <c r="F24" s="754">
        <f t="shared" si="2"/>
        <v>2842</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434</v>
      </c>
      <c r="E26" s="888"/>
      <c r="F26" s="889">
        <f>SUM(F19:F24)</f>
        <v>100340</v>
      </c>
      <c r="G26" s="398"/>
      <c r="H26" s="398"/>
    </row>
    <row r="27" spans="1:10" ht="20.100000000000001" customHeight="1" thickBot="1">
      <c r="A27" s="399" t="s">
        <v>255</v>
      </c>
      <c r="B27" s="399"/>
      <c r="C27" s="399"/>
      <c r="D27" s="399"/>
      <c r="E27" s="399"/>
      <c r="F27" s="400"/>
      <c r="G27" s="687"/>
      <c r="H27" s="401">
        <f>H17+F26</f>
        <v>4393783</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4393783</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22">
        <v>0</v>
      </c>
      <c r="C54" s="1224"/>
      <c r="D54" s="1225"/>
      <c r="E54" s="1224"/>
      <c r="F54" s="1225"/>
    </row>
    <row r="55" spans="1:10" ht="24.95" customHeight="1">
      <c r="A55" s="897"/>
      <c r="B55" s="890">
        <v>0</v>
      </c>
      <c r="C55" s="1226"/>
      <c r="D55" s="1227"/>
      <c r="E55" s="1226"/>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0</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741</v>
      </c>
      <c r="B63" s="1223">
        <v>500000</v>
      </c>
      <c r="C63" s="1224"/>
      <c r="D63" s="1225">
        <v>3</v>
      </c>
      <c r="E63" s="1224">
        <v>1</v>
      </c>
      <c r="F63" s="1225"/>
      <c r="I63" s="151"/>
    </row>
    <row r="64" spans="1:10" ht="24.95" customHeight="1">
      <c r="A64" s="897"/>
      <c r="B64" s="890">
        <v>0</v>
      </c>
      <c r="C64" s="1226"/>
      <c r="D64" s="1227"/>
      <c r="E64" s="1226"/>
      <c r="F64" s="1227"/>
      <c r="I64" s="151"/>
    </row>
    <row r="65" spans="1:9" ht="24.95" customHeight="1">
      <c r="A65" s="897"/>
      <c r="B65" s="890">
        <v>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500000</v>
      </c>
      <c r="C69" s="1234"/>
      <c r="D69" s="1235"/>
      <c r="E69" s="1234"/>
      <c r="F69" s="1235"/>
    </row>
    <row r="70" spans="1:9" ht="24.95" customHeight="1" thickBot="1">
      <c r="A70" s="377" t="s">
        <v>281</v>
      </c>
      <c r="B70" s="378">
        <f>+B69+B60</f>
        <v>500000</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Florida Gateway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220" zoomScale="70" zoomScaleNormal="70" zoomScaleSheetLayoutView="70" zoomScalePageLayoutView="70" workbookViewId="0">
      <selection activeCell="A220" sqref="A1:XFD1048576"/>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Florida Gateway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782</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266558</v>
      </c>
      <c r="H12" s="222"/>
    </row>
    <row r="13" spans="1:8" ht="20.100000000000001" customHeight="1">
      <c r="A13" s="629" t="s">
        <v>216</v>
      </c>
      <c r="B13" s="229"/>
      <c r="C13" s="222" t="s">
        <v>140</v>
      </c>
      <c r="D13" s="229"/>
      <c r="E13" s="229"/>
      <c r="F13" s="235" t="s">
        <v>244</v>
      </c>
      <c r="G13" s="234">
        <f>+'EXHIBIT C'!H11+'EXHIBIT C(2)'!E14</f>
        <v>2289655</v>
      </c>
      <c r="H13" s="222"/>
    </row>
    <row r="14" spans="1:8" ht="20.100000000000001" customHeight="1">
      <c r="A14" s="629" t="s">
        <v>216</v>
      </c>
      <c r="B14" s="229"/>
      <c r="C14" s="229" t="s">
        <v>141</v>
      </c>
      <c r="D14" s="229"/>
      <c r="E14" s="229"/>
      <c r="F14" s="235" t="s">
        <v>245</v>
      </c>
      <c r="G14" s="653">
        <f>+'EXHIBIT C'!H12+'EXHIBIT C(2)'!E15</f>
        <v>916572</v>
      </c>
      <c r="H14" s="222"/>
    </row>
    <row r="15" spans="1:8" ht="20.100000000000001" customHeight="1">
      <c r="A15" s="629" t="s">
        <v>216</v>
      </c>
      <c r="B15" s="229"/>
      <c r="C15" s="236" t="s">
        <v>298</v>
      </c>
      <c r="D15" s="229"/>
      <c r="E15" s="229"/>
      <c r="F15" s="235" t="s">
        <v>246</v>
      </c>
      <c r="G15" s="653">
        <f>+'EXHIBIT C'!H13+'EXHIBIT C(2)'!E16</f>
        <v>698301</v>
      </c>
      <c r="H15" s="222"/>
    </row>
    <row r="16" spans="1:8" ht="20.100000000000001" customHeight="1">
      <c r="A16" s="629" t="s">
        <v>216</v>
      </c>
      <c r="B16" s="229"/>
      <c r="C16" s="236" t="s">
        <v>299</v>
      </c>
      <c r="D16" s="229"/>
      <c r="E16" s="229"/>
      <c r="F16" s="235" t="s">
        <v>247</v>
      </c>
      <c r="G16" s="654">
        <f>+'EXHIBIT C'!H14+'EXHIBIT C(2)'!E17</f>
        <v>91649</v>
      </c>
      <c r="H16" s="222"/>
    </row>
    <row r="17" spans="1:8" ht="20.100000000000001" customHeight="1">
      <c r="A17" s="629" t="s">
        <v>216</v>
      </c>
      <c r="B17" s="229"/>
      <c r="C17" s="222" t="s">
        <v>143</v>
      </c>
      <c r="D17" s="229"/>
      <c r="E17" s="229"/>
      <c r="F17" s="238">
        <v>40160</v>
      </c>
      <c r="G17" s="654">
        <f>+'EXHIBIT C'!H15+'EXHIBIT C(2)'!E18</f>
        <v>30708</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4293443</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0</v>
      </c>
      <c r="H21" s="666"/>
    </row>
    <row r="22" spans="1:8" ht="20.100000000000001" customHeight="1">
      <c r="A22" s="630" t="s">
        <v>231</v>
      </c>
      <c r="B22" s="229"/>
      <c r="C22" s="222" t="s">
        <v>140</v>
      </c>
      <c r="D22" s="229"/>
      <c r="E22" s="229"/>
      <c r="F22" s="235" t="s">
        <v>251</v>
      </c>
      <c r="G22" s="240">
        <f>+'EXHIBIT C'!F20+'EXHIBIT C(2)'!E23</f>
        <v>49022</v>
      </c>
      <c r="H22" s="222"/>
    </row>
    <row r="23" spans="1:8" ht="20.100000000000001" customHeight="1">
      <c r="A23" s="630" t="s">
        <v>231</v>
      </c>
      <c r="B23" s="229"/>
      <c r="C23" s="229" t="s">
        <v>141</v>
      </c>
      <c r="D23" s="229"/>
      <c r="E23" s="229"/>
      <c r="F23" s="235" t="s">
        <v>252</v>
      </c>
      <c r="G23" s="245">
        <f>+'EXHIBIT C'!F21+'EXHIBIT C(2)'!E24</f>
        <v>26761</v>
      </c>
      <c r="H23" s="222"/>
    </row>
    <row r="24" spans="1:8" ht="20.100000000000001" customHeight="1">
      <c r="A24" s="630" t="s">
        <v>231</v>
      </c>
      <c r="B24" s="229"/>
      <c r="C24" s="236" t="s">
        <v>298</v>
      </c>
      <c r="D24" s="229"/>
      <c r="E24" s="229"/>
      <c r="F24" s="235" t="s">
        <v>253</v>
      </c>
      <c r="G24" s="245">
        <f>+'EXHIBIT C'!F22+'EXHIBIT C(2)'!E25</f>
        <v>18873</v>
      </c>
      <c r="H24" s="222"/>
    </row>
    <row r="25" spans="1:8" ht="20.100000000000001" customHeight="1">
      <c r="A25" s="630" t="s">
        <v>231</v>
      </c>
      <c r="B25" s="229"/>
      <c r="C25" s="236" t="s">
        <v>299</v>
      </c>
      <c r="D25" s="229"/>
      <c r="E25" s="229"/>
      <c r="F25" s="235" t="s">
        <v>254</v>
      </c>
      <c r="G25" s="245">
        <f>+'EXHIBIT C'!F23+'EXHIBIT C(2)'!E26</f>
        <v>2842</v>
      </c>
      <c r="H25" s="222"/>
    </row>
    <row r="26" spans="1:8" ht="20.100000000000001" customHeight="1">
      <c r="A26" s="630" t="s">
        <v>231</v>
      </c>
      <c r="B26" s="229"/>
      <c r="C26" s="222" t="s">
        <v>143</v>
      </c>
      <c r="D26" s="229"/>
      <c r="E26" s="229"/>
      <c r="F26" s="238">
        <v>40360</v>
      </c>
      <c r="G26" s="245">
        <f>+'EXHIBIT C'!F24+'EXHIBIT C(2)'!E27</f>
        <v>2842</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100340</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4393783</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55000</v>
      </c>
      <c r="H47" s="666"/>
    </row>
    <row r="48" spans="1:8" ht="20.100000000000001" customHeight="1">
      <c r="A48" s="629" t="s">
        <v>313</v>
      </c>
      <c r="B48" s="222"/>
      <c r="C48" s="246"/>
      <c r="D48" s="246"/>
      <c r="E48" s="246"/>
      <c r="F48" s="247" t="s">
        <v>314</v>
      </c>
      <c r="G48" s="572">
        <v>50000</v>
      </c>
      <c r="H48" s="666"/>
    </row>
    <row r="49" spans="1:8" ht="20.100000000000001" customHeight="1">
      <c r="A49" s="629" t="s">
        <v>315</v>
      </c>
      <c r="B49" s="229"/>
      <c r="C49" s="229"/>
      <c r="D49" s="229"/>
      <c r="E49" s="229"/>
      <c r="F49" s="248" t="s">
        <v>316</v>
      </c>
      <c r="G49" s="572">
        <v>0</v>
      </c>
      <c r="H49" s="222"/>
    </row>
    <row r="50" spans="1:8" ht="20.100000000000001" customHeight="1">
      <c r="A50" s="629" t="s">
        <v>317</v>
      </c>
      <c r="B50" s="229"/>
      <c r="C50" s="229"/>
      <c r="D50" s="229"/>
      <c r="E50" s="229"/>
      <c r="F50" s="248" t="s">
        <v>318</v>
      </c>
      <c r="G50" s="572">
        <v>600000</v>
      </c>
      <c r="H50" s="222"/>
    </row>
    <row r="51" spans="1:8" ht="20.100000000000001" customHeight="1">
      <c r="A51" s="629" t="s">
        <v>319</v>
      </c>
      <c r="B51" s="229"/>
      <c r="C51" s="229"/>
      <c r="D51" s="229"/>
      <c r="E51" s="229"/>
      <c r="F51" s="233">
        <v>40450</v>
      </c>
      <c r="G51" s="572">
        <v>360000</v>
      </c>
      <c r="H51" s="222"/>
    </row>
    <row r="52" spans="1:8" ht="20.100000000000001" customHeight="1">
      <c r="A52" s="629" t="s">
        <v>320</v>
      </c>
      <c r="B52" s="229"/>
      <c r="C52" s="229"/>
      <c r="D52" s="229"/>
      <c r="E52" s="229"/>
      <c r="F52" s="248" t="s">
        <v>321</v>
      </c>
      <c r="G52" s="572">
        <v>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225000</v>
      </c>
      <c r="H58" s="222"/>
    </row>
    <row r="59" spans="1:8" ht="20.100000000000001" customHeight="1">
      <c r="A59" s="630" t="s">
        <v>334</v>
      </c>
      <c r="B59" s="232"/>
      <c r="C59" s="232"/>
      <c r="D59" s="232"/>
      <c r="E59" s="232"/>
      <c r="F59" s="248" t="s">
        <v>335</v>
      </c>
      <c r="G59" s="572">
        <f>55000+8500+1000+4500+30000</f>
        <v>99000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5782783</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800000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800000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12343150</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f>76422+124080</f>
        <v>200502</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200000</v>
      </c>
      <c r="H80" s="222"/>
    </row>
    <row r="81" spans="1:10" ht="20.100000000000001" customHeight="1">
      <c r="A81" s="629" t="s">
        <v>361</v>
      </c>
      <c r="B81" s="229"/>
      <c r="C81" s="229"/>
      <c r="D81" s="229"/>
      <c r="E81" s="229"/>
      <c r="F81" s="235" t="s">
        <v>362</v>
      </c>
      <c r="G81" s="655">
        <f>'CHECK SHEET'!D104</f>
        <v>2397283</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15140935</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160000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160000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200000</v>
      </c>
      <c r="H109" s="222"/>
    </row>
    <row r="110" spans="1:8" ht="20.100000000000001" customHeight="1">
      <c r="A110" s="629" t="s">
        <v>388</v>
      </c>
      <c r="B110" s="229"/>
      <c r="C110" s="229"/>
      <c r="D110" s="229"/>
      <c r="E110" s="229"/>
      <c r="F110" s="235" t="s">
        <v>389</v>
      </c>
      <c r="G110" s="573">
        <v>166000</v>
      </c>
      <c r="H110" s="222"/>
    </row>
    <row r="111" spans="1:8" ht="20.100000000000001" customHeight="1">
      <c r="A111" s="629" t="s">
        <v>390</v>
      </c>
      <c r="B111" s="229"/>
      <c r="C111" s="229"/>
      <c r="D111" s="229"/>
      <c r="E111" s="229"/>
      <c r="F111" s="235" t="s">
        <v>391</v>
      </c>
      <c r="G111" s="573">
        <v>10000</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40">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376000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35000</v>
      </c>
      <c r="H123" s="222"/>
    </row>
    <row r="124" spans="1:8" ht="20.100000000000001" customHeight="1">
      <c r="A124" s="629" t="s">
        <v>403</v>
      </c>
      <c r="B124" s="229"/>
      <c r="C124" s="229"/>
      <c r="D124" s="229"/>
      <c r="E124" s="229"/>
      <c r="F124" s="235" t="s">
        <v>404</v>
      </c>
      <c r="G124" s="573">
        <v>3000</v>
      </c>
      <c r="H124" s="222"/>
    </row>
    <row r="125" spans="1:8" ht="20.100000000000001" customHeight="1">
      <c r="A125" s="629" t="s">
        <v>405</v>
      </c>
      <c r="B125" s="229"/>
      <c r="C125" s="229"/>
      <c r="D125" s="229"/>
      <c r="E125" s="229"/>
      <c r="F125" s="235" t="s">
        <v>406</v>
      </c>
      <c r="G125" s="573">
        <v>650</v>
      </c>
      <c r="H125" s="222"/>
    </row>
    <row r="126" spans="1:8" ht="20.100000000000001" customHeight="1">
      <c r="A126" s="629" t="s">
        <v>407</v>
      </c>
      <c r="B126" s="229"/>
      <c r="C126" s="229"/>
      <c r="D126" s="229"/>
      <c r="E126" s="229"/>
      <c r="F126" s="235" t="s">
        <v>408</v>
      </c>
      <c r="G126" s="573">
        <v>41681</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80331</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500000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1000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500</v>
      </c>
      <c r="H138" s="222"/>
    </row>
    <row r="139" spans="1:8" ht="20.100000000000001" customHeight="1">
      <c r="A139" s="629" t="s">
        <v>422</v>
      </c>
      <c r="B139" s="229"/>
      <c r="C139" s="229"/>
      <c r="D139" s="229"/>
      <c r="E139" s="229"/>
      <c r="F139" s="235" t="s">
        <v>423</v>
      </c>
      <c r="G139" s="573">
        <v>150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501650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22841699</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f>391759.34+243360+6640</f>
        <v>641759.34000000008</v>
      </c>
      <c r="H147" s="222"/>
    </row>
    <row r="148" spans="1:8" ht="20.100000000000001" customHeight="1">
      <c r="A148" s="629" t="s">
        <v>429</v>
      </c>
      <c r="B148" s="222"/>
      <c r="C148" s="222"/>
      <c r="D148" s="222"/>
      <c r="E148" s="222"/>
      <c r="F148" s="235" t="s">
        <v>430</v>
      </c>
      <c r="G148" s="577">
        <v>555398.81999999995</v>
      </c>
      <c r="H148" s="222"/>
    </row>
    <row r="149" spans="1:8" ht="20.100000000000001" customHeight="1">
      <c r="A149" s="629" t="s">
        <v>431</v>
      </c>
      <c r="B149" s="222"/>
      <c r="C149" s="222"/>
      <c r="D149" s="222"/>
      <c r="E149" s="222"/>
      <c r="F149" s="235" t="s">
        <v>432</v>
      </c>
      <c r="G149" s="577">
        <v>1344200.33</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4253045.9400000004</v>
      </c>
      <c r="H152" s="222"/>
    </row>
    <row r="153" spans="1:8" ht="20.100000000000001" customHeight="1">
      <c r="A153" s="629" t="s">
        <v>439</v>
      </c>
      <c r="B153" s="229"/>
      <c r="C153" s="229"/>
      <c r="D153" s="229"/>
      <c r="E153" s="229"/>
      <c r="F153" s="235" t="s">
        <v>440</v>
      </c>
      <c r="G153" s="577">
        <f>173251+823807</f>
        <v>997058</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38674.980000000003</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1029692.6</v>
      </c>
      <c r="H162" s="222"/>
    </row>
    <row r="163" spans="1:8" ht="20.100000000000001" customHeight="1">
      <c r="A163" s="629" t="s">
        <v>458</v>
      </c>
      <c r="B163" s="229"/>
      <c r="C163" s="229"/>
      <c r="D163" s="229"/>
      <c r="E163" s="229"/>
      <c r="F163" s="235" t="s">
        <v>459</v>
      </c>
      <c r="G163" s="577">
        <v>2000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369674.03</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f>1637985.48+236526.01</f>
        <v>1874511.49</v>
      </c>
      <c r="H167" s="222"/>
    </row>
    <row r="168" spans="1:8" ht="20.100000000000001" customHeight="1">
      <c r="A168" s="629" t="s">
        <v>468</v>
      </c>
      <c r="B168" s="229"/>
      <c r="C168" s="229"/>
      <c r="D168" s="229"/>
      <c r="E168" s="229"/>
      <c r="F168" s="235" t="s">
        <v>469</v>
      </c>
      <c r="G168" s="577">
        <v>2000</v>
      </c>
      <c r="H168" s="222"/>
    </row>
    <row r="169" spans="1:8" ht="20.100000000000001" customHeight="1">
      <c r="A169" s="629" t="s">
        <v>470</v>
      </c>
      <c r="B169" s="229"/>
      <c r="C169" s="229"/>
      <c r="D169" s="229"/>
      <c r="E169" s="229"/>
      <c r="F169" s="235" t="s">
        <v>471</v>
      </c>
      <c r="G169" s="577">
        <v>14416.7</v>
      </c>
      <c r="H169" s="222"/>
    </row>
    <row r="170" spans="1:8" ht="20.100000000000001" customHeight="1">
      <c r="A170" s="629" t="s">
        <v>472</v>
      </c>
      <c r="B170" s="229"/>
      <c r="C170" s="229"/>
      <c r="D170" s="229"/>
      <c r="E170" s="229"/>
      <c r="F170" s="235" t="s">
        <v>473</v>
      </c>
      <c r="G170" s="577">
        <v>12000</v>
      </c>
      <c r="H170" s="222"/>
    </row>
    <row r="171" spans="1:8" ht="20.100000000000001" customHeight="1">
      <c r="A171" s="629" t="s">
        <v>474</v>
      </c>
      <c r="B171" s="229"/>
      <c r="C171" s="229"/>
      <c r="D171" s="229"/>
      <c r="E171" s="229"/>
      <c r="F171" s="235" t="s">
        <v>475</v>
      </c>
      <c r="G171" s="577"/>
      <c r="H171" s="222"/>
    </row>
    <row r="172" spans="1:8" ht="20.100000000000001" customHeight="1">
      <c r="A172" s="629" t="s">
        <v>476</v>
      </c>
      <c r="B172" s="229"/>
      <c r="C172" s="229"/>
      <c r="D172" s="229"/>
      <c r="E172" s="229"/>
      <c r="F172" s="238">
        <v>56001</v>
      </c>
      <c r="G172" s="577">
        <f>1465140+750</f>
        <v>1465890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50000</v>
      </c>
      <c r="H177" s="222"/>
    </row>
    <row r="178" spans="1:8" ht="20.100000000000001" customHeight="1">
      <c r="A178" s="629" t="s">
        <v>485</v>
      </c>
      <c r="B178" s="229"/>
      <c r="C178" s="229"/>
      <c r="D178" s="229"/>
      <c r="E178" s="229"/>
      <c r="F178" s="235" t="s">
        <v>486</v>
      </c>
      <c r="G178" s="577">
        <f>81680.7+85000+3000</f>
        <v>169680.7</v>
      </c>
      <c r="H178" s="222"/>
    </row>
    <row r="179" spans="1:8" ht="20.100000000000001" customHeight="1">
      <c r="A179" s="629" t="s">
        <v>487</v>
      </c>
      <c r="B179" s="229"/>
      <c r="C179" s="229"/>
      <c r="D179" s="229"/>
      <c r="E179" s="229"/>
      <c r="F179" s="235" t="s">
        <v>488</v>
      </c>
      <c r="G179" s="577">
        <v>37200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f>782072.22+96.28</f>
        <v>782168.5</v>
      </c>
      <c r="H185" s="222"/>
    </row>
    <row r="186" spans="1:8" ht="20.100000000000001" customHeight="1">
      <c r="A186" s="629" t="s">
        <v>501</v>
      </c>
      <c r="B186" s="229"/>
      <c r="C186" s="229"/>
      <c r="D186" s="229"/>
      <c r="E186" s="229"/>
      <c r="F186" s="235" t="s">
        <v>502</v>
      </c>
      <c r="G186" s="577">
        <f>1311614.9+416.33</f>
        <v>1312031.23</v>
      </c>
      <c r="H186" s="222"/>
    </row>
    <row r="187" spans="1:8" ht="20.100000000000001" customHeight="1">
      <c r="A187" s="629" t="s">
        <v>503</v>
      </c>
      <c r="B187" s="229"/>
      <c r="C187" s="229"/>
      <c r="D187" s="229"/>
      <c r="E187" s="229"/>
      <c r="F187" s="235" t="s">
        <v>504</v>
      </c>
      <c r="G187" s="577">
        <v>50000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f>54107.18+630.8+1250</f>
        <v>55987.98</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1925494.05</v>
      </c>
      <c r="H191" s="222"/>
    </row>
    <row r="192" spans="1:8" ht="20.100000000000001" customHeight="1">
      <c r="A192" s="629" t="s">
        <v>512</v>
      </c>
      <c r="B192" s="229"/>
      <c r="C192" s="229"/>
      <c r="D192" s="229"/>
      <c r="E192" s="229"/>
      <c r="F192" s="235" t="s">
        <v>513</v>
      </c>
      <c r="G192" s="577">
        <v>25000</v>
      </c>
      <c r="H192" s="222"/>
    </row>
    <row r="193" spans="1:8" ht="20.100000000000001" customHeight="1">
      <c r="A193" s="629" t="s">
        <v>514</v>
      </c>
      <c r="B193" s="229"/>
      <c r="C193" s="229"/>
      <c r="D193" s="229"/>
      <c r="E193" s="229"/>
      <c r="F193" s="235" t="s">
        <v>515</v>
      </c>
      <c r="G193" s="577">
        <v>150000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17157884.690000001</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255882</v>
      </c>
      <c r="H199" s="222"/>
    </row>
    <row r="200" spans="1:8" ht="20.100000000000001" customHeight="1">
      <c r="A200" s="629" t="s">
        <v>520</v>
      </c>
      <c r="B200" s="229"/>
      <c r="C200" s="229"/>
      <c r="D200" s="229"/>
      <c r="E200" s="229"/>
      <c r="F200" s="235" t="s">
        <v>521</v>
      </c>
      <c r="G200" s="577">
        <v>38610</v>
      </c>
      <c r="H200" s="222"/>
    </row>
    <row r="201" spans="1:8" ht="20.100000000000001" customHeight="1">
      <c r="A201" s="629" t="s">
        <v>522</v>
      </c>
      <c r="B201" s="229"/>
      <c r="C201" s="229"/>
      <c r="D201" s="229"/>
      <c r="E201" s="229"/>
      <c r="F201" s="235" t="s">
        <v>523</v>
      </c>
      <c r="G201" s="577">
        <v>123970</v>
      </c>
      <c r="H201" s="222"/>
    </row>
    <row r="202" spans="1:8" ht="20.100000000000001" customHeight="1">
      <c r="A202" s="629" t="s">
        <v>524</v>
      </c>
      <c r="B202" s="229"/>
      <c r="C202" s="229"/>
      <c r="D202" s="229"/>
      <c r="E202" s="229"/>
      <c r="F202" s="235" t="s">
        <v>525</v>
      </c>
      <c r="G202" s="577">
        <v>96497</v>
      </c>
      <c r="H202" s="222"/>
    </row>
    <row r="203" spans="1:8" ht="20.100000000000001" customHeight="1">
      <c r="A203" s="629" t="s">
        <v>526</v>
      </c>
      <c r="B203" s="229"/>
      <c r="C203" s="229"/>
      <c r="D203" s="229"/>
      <c r="E203" s="229"/>
      <c r="F203" s="235" t="s">
        <v>527</v>
      </c>
      <c r="G203" s="577">
        <v>730176</v>
      </c>
      <c r="H203" s="222"/>
    </row>
    <row r="204" spans="1:8" ht="20.100000000000001" customHeight="1">
      <c r="A204" s="629" t="s">
        <v>528</v>
      </c>
      <c r="B204" s="229"/>
      <c r="C204" s="229"/>
      <c r="D204" s="229"/>
      <c r="E204" s="229"/>
      <c r="F204" s="235" t="s">
        <v>529</v>
      </c>
      <c r="G204" s="577">
        <v>67975</v>
      </c>
      <c r="H204" s="222"/>
    </row>
    <row r="205" spans="1:8" ht="20.100000000000001" customHeight="1">
      <c r="A205" s="629" t="s">
        <v>530</v>
      </c>
      <c r="B205" s="229"/>
      <c r="C205" s="229"/>
      <c r="D205" s="229"/>
      <c r="E205" s="229"/>
      <c r="F205" s="235" t="s">
        <v>531</v>
      </c>
      <c r="G205" s="577">
        <v>493791</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42750</v>
      </c>
      <c r="H207" s="222"/>
    </row>
    <row r="208" spans="1:8" ht="20.100000000000001" customHeight="1">
      <c r="A208" s="629" t="s">
        <v>536</v>
      </c>
      <c r="B208" s="229"/>
      <c r="C208" s="229"/>
      <c r="D208" s="229"/>
      <c r="E208" s="229"/>
      <c r="F208" s="235" t="s">
        <v>537</v>
      </c>
      <c r="G208" s="577">
        <v>115600</v>
      </c>
      <c r="H208" s="222"/>
    </row>
    <row r="209" spans="1:8" ht="20.100000000000001" customHeight="1">
      <c r="A209" s="629" t="s">
        <v>538</v>
      </c>
      <c r="B209" s="229"/>
      <c r="C209" s="229"/>
      <c r="D209" s="229"/>
      <c r="E209" s="229"/>
      <c r="F209" s="235" t="s">
        <v>539</v>
      </c>
      <c r="G209" s="577">
        <v>403200</v>
      </c>
      <c r="H209" s="222"/>
    </row>
    <row r="210" spans="1:8" ht="20.100000000000001" customHeight="1">
      <c r="A210" s="629" t="s">
        <v>540</v>
      </c>
      <c r="B210" s="229"/>
      <c r="C210" s="229"/>
      <c r="D210" s="229"/>
      <c r="E210" s="229"/>
      <c r="F210" s="235" t="s">
        <v>541</v>
      </c>
      <c r="G210" s="577">
        <v>30300</v>
      </c>
      <c r="H210" s="222"/>
    </row>
    <row r="211" spans="1:8" ht="20.100000000000001" customHeight="1">
      <c r="A211" s="629" t="s">
        <v>542</v>
      </c>
      <c r="B211" s="229"/>
      <c r="C211" s="229"/>
      <c r="D211" s="229"/>
      <c r="E211" s="229"/>
      <c r="F211" s="235" t="s">
        <v>543</v>
      </c>
      <c r="G211" s="577">
        <v>19100</v>
      </c>
      <c r="H211" s="222"/>
    </row>
    <row r="212" spans="1:8" ht="20.100000000000001" customHeight="1">
      <c r="A212" s="629" t="s">
        <v>544</v>
      </c>
      <c r="B212" s="222"/>
      <c r="C212" s="222"/>
      <c r="D212" s="222"/>
      <c r="E212" s="222"/>
      <c r="F212" s="235" t="s">
        <v>545</v>
      </c>
      <c r="G212" s="577">
        <v>2350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1869839.01</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217800</v>
      </c>
      <c r="H217" s="222"/>
    </row>
    <row r="218" spans="1:8" ht="20.100000000000001" customHeight="1">
      <c r="A218" s="629" t="s">
        <v>554</v>
      </c>
      <c r="B218" s="229"/>
      <c r="C218" s="229"/>
      <c r="D218" s="229"/>
      <c r="E218" s="229"/>
      <c r="F218" s="235" t="s">
        <v>555</v>
      </c>
      <c r="G218" s="577">
        <v>466785.6</v>
      </c>
      <c r="H218" s="222"/>
    </row>
    <row r="219" spans="1:8" ht="20.100000000000001" customHeight="1">
      <c r="A219" s="629" t="s">
        <v>556</v>
      </c>
      <c r="B219" s="222"/>
      <c r="C219" s="222"/>
      <c r="D219" s="222"/>
      <c r="E219" s="222"/>
      <c r="F219" s="256" t="s">
        <v>557</v>
      </c>
      <c r="G219" s="577">
        <v>88700.39</v>
      </c>
      <c r="H219" s="222"/>
    </row>
    <row r="220" spans="1:8" ht="20.100000000000001" customHeight="1">
      <c r="A220" s="629" t="s">
        <v>558</v>
      </c>
      <c r="B220" s="229"/>
      <c r="C220" s="229"/>
      <c r="D220" s="229"/>
      <c r="E220" s="229"/>
      <c r="F220" s="235" t="s">
        <v>559</v>
      </c>
      <c r="G220" s="577">
        <v>53375</v>
      </c>
      <c r="H220" s="222"/>
    </row>
    <row r="221" spans="1:8" ht="20.100000000000001" customHeight="1">
      <c r="A221" s="629" t="s">
        <v>560</v>
      </c>
      <c r="B221" s="229"/>
      <c r="C221" s="229"/>
      <c r="D221" s="229"/>
      <c r="E221" s="229"/>
      <c r="F221" s="235" t="s">
        <v>561</v>
      </c>
      <c r="G221" s="577">
        <v>110514</v>
      </c>
      <c r="H221" s="222"/>
    </row>
    <row r="222" spans="1:8" ht="20.100000000000001" customHeight="1">
      <c r="A222" s="630" t="s">
        <v>562</v>
      </c>
      <c r="B222" s="232"/>
      <c r="C222" s="232"/>
      <c r="D222" s="232"/>
      <c r="E222" s="232"/>
      <c r="F222" s="248" t="s">
        <v>563</v>
      </c>
      <c r="G222" s="577">
        <v>103165</v>
      </c>
      <c r="H222" s="222"/>
    </row>
    <row r="223" spans="1:8" ht="20.100000000000001" customHeight="1">
      <c r="A223" s="629" t="s">
        <v>564</v>
      </c>
      <c r="B223" s="229"/>
      <c r="C223" s="229"/>
      <c r="D223" s="229"/>
      <c r="E223" s="229"/>
      <c r="F223" s="253" t="s">
        <v>565</v>
      </c>
      <c r="G223" s="577">
        <v>3000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50267</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71925</v>
      </c>
      <c r="H234" s="222"/>
      <c r="I234" s="271"/>
    </row>
    <row r="235" spans="1:9" ht="20.100000000000001" customHeight="1">
      <c r="A235" s="629" t="s">
        <v>587</v>
      </c>
      <c r="B235" s="229"/>
      <c r="C235" s="229"/>
      <c r="D235" s="229"/>
      <c r="E235" s="229"/>
      <c r="F235" s="235" t="s">
        <v>588</v>
      </c>
      <c r="G235" s="577">
        <v>200</v>
      </c>
      <c r="H235" s="222"/>
    </row>
    <row r="236" spans="1:9" ht="20.100000000000001" customHeight="1">
      <c r="A236" s="629" t="s">
        <v>589</v>
      </c>
      <c r="B236" s="229"/>
      <c r="C236" s="229"/>
      <c r="D236" s="229"/>
      <c r="E236" s="229"/>
      <c r="F236" s="235" t="s">
        <v>590</v>
      </c>
      <c r="G236" s="577">
        <v>150000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5605771.9999999991</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0</v>
      </c>
      <c r="H242" s="222"/>
    </row>
    <row r="243" spans="1:10" ht="20.100000000000001" customHeight="1">
      <c r="A243" s="630" t="s">
        <v>594</v>
      </c>
      <c r="B243" s="232"/>
      <c r="C243" s="232"/>
      <c r="D243" s="232"/>
      <c r="E243" s="232"/>
      <c r="F243" s="248" t="s">
        <v>595</v>
      </c>
      <c r="G243" s="577">
        <v>155000</v>
      </c>
      <c r="H243" s="222"/>
    </row>
    <row r="244" spans="1:10" ht="20.100000000000001" customHeight="1">
      <c r="A244" s="629" t="s">
        <v>596</v>
      </c>
      <c r="B244" s="229"/>
      <c r="C244" s="229"/>
      <c r="D244" s="229"/>
      <c r="E244" s="229"/>
      <c r="F244" s="235" t="s">
        <v>597</v>
      </c>
      <c r="G244" s="577">
        <v>27000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50000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232000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22995656.690000001</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5994567.0099999998</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5994567.0099999998</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f>-12903794-940000-50000</f>
        <v>-13893794</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-7899226.9900000002</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2021-10-13T14:32:32Z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