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0" yWindow="0" windowWidth="16050" windowHeight="9645" firstSheet="2"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SHEET'!$A$1:$G$165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C15" i="8" l="1"/>
  <c r="C14" i="8" s="1"/>
  <c r="B15" i="8"/>
  <c r="B14" i="8" s="1"/>
  <c r="D54" i="15" l="1"/>
  <c r="D52" i="15"/>
  <c r="D48" i="15"/>
  <c r="D34" i="15"/>
  <c r="D16" i="15"/>
  <c r="C17" i="8"/>
  <c r="G268" i="7"/>
  <c r="G244" i="7" l="1"/>
  <c r="G191" i="7" l="1"/>
  <c r="G189" i="7"/>
  <c r="G186" i="7"/>
  <c r="G185" i="7"/>
  <c r="G175" i="7"/>
  <c r="G172" i="7"/>
  <c r="G152" i="7"/>
  <c r="G59" i="7" l="1"/>
  <c r="G83" i="7"/>
  <c r="G111" i="7"/>
  <c r="G52" i="7"/>
  <c r="G50" i="7" l="1"/>
  <c r="G48" i="7" l="1"/>
  <c r="G138" i="7" l="1"/>
  <c r="G123" i="7"/>
  <c r="G61" i="7"/>
  <c r="G58" i="7"/>
  <c r="G56" i="7"/>
  <c r="S113" i="23" l="1"/>
  <c r="V113" i="23"/>
  <c r="AG113" i="23"/>
  <c r="AB113" i="23" s="1"/>
  <c r="Z113" i="23" s="1"/>
  <c r="E48" i="23" l="1"/>
  <c r="E49" i="23"/>
  <c r="E50" i="23"/>
  <c r="E51" i="23"/>
  <c r="E53" i="23"/>
  <c r="D57" i="23"/>
  <c r="E56" i="23"/>
  <c r="E52" i="23" l="1"/>
  <c r="G10" i="6"/>
  <c r="D10" i="6" s="1"/>
  <c r="G11" i="6"/>
  <c r="D11" i="6" s="1"/>
  <c r="G12" i="6"/>
  <c r="D12" i="6" s="1"/>
  <c r="G13" i="6"/>
  <c r="D13" i="6" s="1"/>
  <c r="F13" i="6" s="1"/>
  <c r="G14" i="6"/>
  <c r="D14" i="6" s="1"/>
  <c r="G15" i="6"/>
  <c r="H15" i="6" s="1"/>
  <c r="G17" i="7" s="1"/>
  <c r="F32" i="6"/>
  <c r="G32" i="6"/>
  <c r="H32" i="6"/>
  <c r="G30" i="7" s="1"/>
  <c r="F33" i="6"/>
  <c r="G33" i="6"/>
  <c r="F34" i="6"/>
  <c r="G34" i="6"/>
  <c r="H34" i="6" s="1"/>
  <c r="F35" i="6"/>
  <c r="G35" i="6"/>
  <c r="E19" i="6"/>
  <c r="D19" i="6" s="1"/>
  <c r="F19" i="6"/>
  <c r="G21" i="7" s="1"/>
  <c r="E20" i="6"/>
  <c r="E21" i="6"/>
  <c r="E22" i="6"/>
  <c r="D22" i="6" s="1"/>
  <c r="F22" i="6"/>
  <c r="G24" i="7" s="1"/>
  <c r="E23" i="6"/>
  <c r="E24" i="6"/>
  <c r="F24" i="6" s="1"/>
  <c r="G26" i="7" s="1"/>
  <c r="B34" i="5"/>
  <c r="E39" i="6"/>
  <c r="F39" i="6" s="1"/>
  <c r="B35" i="5"/>
  <c r="E40" i="6"/>
  <c r="F40" i="6" s="1"/>
  <c r="G38" i="7" s="1"/>
  <c r="B37" i="5"/>
  <c r="E41" i="6" s="1"/>
  <c r="F41" i="6" s="1"/>
  <c r="G39" i="7" s="1"/>
  <c r="B38" i="5"/>
  <c r="H38" i="5" s="1"/>
  <c r="I38" i="5"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E64" i="3" s="1"/>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D104" i="3"/>
  <c r="G81" i="7" s="1"/>
  <c r="E104" i="3" s="1"/>
  <c r="C35" i="23"/>
  <c r="E103" i="3"/>
  <c r="D103" i="3" s="1"/>
  <c r="F103" i="3" s="1"/>
  <c r="B99" i="23"/>
  <c r="C71" i="23"/>
  <c r="D71" i="23"/>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F118" i="15" s="1"/>
  <c r="E118" i="15"/>
  <c r="F124" i="15"/>
  <c r="F127" i="15"/>
  <c r="F128" i="15"/>
  <c r="F129" i="15"/>
  <c r="F130" i="15"/>
  <c r="F131" i="15"/>
  <c r="F132" i="15"/>
  <c r="F133" i="15"/>
  <c r="F134" i="15"/>
  <c r="F135" i="15"/>
  <c r="E136" i="15"/>
  <c r="B53" i="22"/>
  <c r="D75" i="22"/>
  <c r="E75" i="22"/>
  <c r="E65" i="22"/>
  <c r="E67" i="22" s="1"/>
  <c r="D65" i="22"/>
  <c r="D67" i="22"/>
  <c r="D70" i="22" s="1"/>
  <c r="D59" i="22"/>
  <c r="D62" i="22" s="1"/>
  <c r="D60" i="22"/>
  <c r="B52" i="22"/>
  <c r="E33" i="22"/>
  <c r="E34" i="22" s="1"/>
  <c r="D33" i="22"/>
  <c r="D34" i="22"/>
  <c r="D26" i="22"/>
  <c r="D38" i="22"/>
  <c r="C38" i="22"/>
  <c r="E15" i="22"/>
  <c r="D15" i="22"/>
  <c r="B46" i="22"/>
  <c r="E26" i="22"/>
  <c r="E59" i="22"/>
  <c r="E62" i="22" s="1"/>
  <c r="E38" i="22"/>
  <c r="B29" i="5"/>
  <c r="G14" i="5"/>
  <c r="H14" i="5" s="1"/>
  <c r="G254" i="7"/>
  <c r="E15" i="8"/>
  <c r="E36" i="6"/>
  <c r="D36" i="6"/>
  <c r="D43" i="6"/>
  <c r="E17" i="6"/>
  <c r="G20" i="5"/>
  <c r="H20" i="5"/>
  <c r="G19" i="5"/>
  <c r="H19" i="5" s="1"/>
  <c r="G22" i="5"/>
  <c r="H22" i="5" s="1"/>
  <c r="G23" i="5"/>
  <c r="H23" i="5" s="1"/>
  <c r="E20" i="12"/>
  <c r="E29" i="12"/>
  <c r="E30" i="12"/>
  <c r="G195" i="7"/>
  <c r="D21" i="8"/>
  <c r="C113" i="3" s="1"/>
  <c r="E68" i="3"/>
  <c r="C94" i="12"/>
  <c r="B31" i="5"/>
  <c r="H31" i="5"/>
  <c r="I31" i="5" s="1"/>
  <c r="B30" i="5"/>
  <c r="G16" i="5"/>
  <c r="H16" i="5" s="1"/>
  <c r="G15" i="5"/>
  <c r="H15" i="5" s="1"/>
  <c r="D96" i="8"/>
  <c r="C96" i="8"/>
  <c r="B69" i="6"/>
  <c r="C93" i="3" s="1"/>
  <c r="E19" i="4"/>
  <c r="E71" i="3"/>
  <c r="E73" i="3"/>
  <c r="B21" i="8"/>
  <c r="C21" i="8"/>
  <c r="E10" i="8"/>
  <c r="E12" i="8"/>
  <c r="E16" i="8"/>
  <c r="E17" i="8"/>
  <c r="E18" i="8"/>
  <c r="E19" i="8"/>
  <c r="E20" i="8"/>
  <c r="E36" i="4"/>
  <c r="C127" i="3" s="1"/>
  <c r="D33" i="4"/>
  <c r="B60" i="6"/>
  <c r="C95" i="3" s="1"/>
  <c r="C96" i="3"/>
  <c r="E26" i="4"/>
  <c r="E16" i="4"/>
  <c r="G270" i="7"/>
  <c r="G274" i="7" s="1"/>
  <c r="C120" i="3" s="1"/>
  <c r="D61" i="22"/>
  <c r="E14" i="8"/>
  <c r="G238" i="7"/>
  <c r="X141" i="23"/>
  <c r="F36" i="6"/>
  <c r="D66" i="22"/>
  <c r="H35" i="6"/>
  <c r="G33" i="7" s="1"/>
  <c r="H33" i="6"/>
  <c r="G31" i="7" s="1"/>
  <c r="H34" i="5"/>
  <c r="I34" i="5"/>
  <c r="H30" i="5"/>
  <c r="I30" i="5" s="1"/>
  <c r="D92" i="23"/>
  <c r="E92" i="23" s="1"/>
  <c r="F92" i="23" s="1"/>
  <c r="H37" i="5"/>
  <c r="I37" i="5" s="1"/>
  <c r="D17" i="6"/>
  <c r="F12" i="6"/>
  <c r="H12" i="6" s="1"/>
  <c r="G14" i="7" s="1"/>
  <c r="F11" i="6"/>
  <c r="E45" i="3" s="1"/>
  <c r="F14" i="6"/>
  <c r="H14" i="6" s="1"/>
  <c r="G16" i="7" s="1"/>
  <c r="H13" i="6"/>
  <c r="G15" i="7" s="1"/>
  <c r="F15" i="6"/>
  <c r="E49" i="3"/>
  <c r="F10" i="6"/>
  <c r="H10" i="6" s="1"/>
  <c r="G12" i="7" s="1"/>
  <c r="E47" i="3"/>
  <c r="G35" i="7" l="1"/>
  <c r="G32" i="7"/>
  <c r="H36" i="6"/>
  <c r="G37" i="7"/>
  <c r="E61" i="22"/>
  <c r="T113" i="23"/>
  <c r="E42" i="6"/>
  <c r="F42" i="6" s="1"/>
  <c r="G40" i="7" s="1"/>
  <c r="D21" i="6"/>
  <c r="E70" i="3" s="1"/>
  <c r="D69" i="22"/>
  <c r="E60" i="22"/>
  <c r="D20" i="6"/>
  <c r="E66" i="22"/>
  <c r="D68" i="22"/>
  <c r="H11" i="6"/>
  <c r="G13" i="7" s="1"/>
  <c r="E46" i="3"/>
  <c r="D23" i="6"/>
  <c r="E72" i="3" s="1"/>
  <c r="E21" i="8"/>
  <c r="C111" i="3"/>
  <c r="C121" i="3"/>
  <c r="C112" i="3"/>
  <c r="G256" i="7"/>
  <c r="E25" i="4" s="1"/>
  <c r="E28" i="4" s="1"/>
  <c r="B70" i="6"/>
  <c r="C92" i="3"/>
  <c r="E48" i="3"/>
  <c r="F17" i="6"/>
  <c r="E50" i="3" s="1"/>
  <c r="E44" i="3"/>
  <c r="H29" i="5"/>
  <c r="I29" i="5" s="1"/>
  <c r="D125" i="15"/>
  <c r="C144" i="3" s="1"/>
  <c r="G19" i="7"/>
  <c r="G42" i="7"/>
  <c r="D126" i="15"/>
  <c r="D136" i="15" s="1"/>
  <c r="C128" i="3"/>
  <c r="C132" i="3" s="1"/>
  <c r="E120" i="15"/>
  <c r="E138" i="15" s="1"/>
  <c r="F102" i="15"/>
  <c r="C137" i="3"/>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F120" i="15" l="1"/>
  <c r="D26" i="6"/>
  <c r="E69" i="3"/>
  <c r="E74" i="3" s="1"/>
  <c r="H17" i="6"/>
  <c r="F20" i="6"/>
  <c r="E69" i="22"/>
  <c r="E68" i="22"/>
  <c r="E70" i="22"/>
  <c r="F43" i="6"/>
  <c r="H44" i="6" s="1"/>
  <c r="F125" i="15"/>
  <c r="F23" i="6"/>
  <c r="G25" i="7" s="1"/>
  <c r="F21" i="6"/>
  <c r="G23" i="7" s="1"/>
  <c r="C114" i="3"/>
  <c r="C139" i="3"/>
  <c r="F126" i="15"/>
  <c r="F136" i="15" s="1"/>
  <c r="C147" i="3"/>
  <c r="D138" i="15"/>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G22" i="7" l="1"/>
  <c r="G28" i="7" s="1"/>
  <c r="G44" i="7" s="1"/>
  <c r="G63" i="7" s="1"/>
  <c r="G143" i="7" s="1"/>
  <c r="E18" i="4" s="1"/>
  <c r="E21" i="4" s="1"/>
  <c r="E23" i="4" s="1"/>
  <c r="E44" i="4" s="1"/>
  <c r="C17" i="3" s="1"/>
  <c r="F26" i="6"/>
  <c r="H27" i="6" s="1"/>
  <c r="H46" i="6" s="1"/>
  <c r="C34" i="3" s="1"/>
  <c r="C153" i="3"/>
  <c r="F138" i="15"/>
  <c r="D32" i="4" l="1"/>
  <c r="E35" i="4" s="1"/>
  <c r="E38" i="4" s="1"/>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 xml:space="preserve">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family val="2"/>
          </rPr>
          <t xml:space="preserve">Source: General Appropriations Act, Specific Appropriation 31.
en 5.5.21
</t>
        </r>
      </text>
    </comment>
    <comment ref="B70" authorId="4" shapeId="0">
      <text>
        <r>
          <rPr>
            <sz val="10"/>
            <rFont val="Arial"/>
            <family val="2"/>
          </rPr>
          <t xml:space="preserve">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family val="2"/>
          </rPr>
          <t xml:space="preserve">Note the FTE data is one fiscal year behind.
If the FTE-2A Report has not been approved by the Enrollment Estimating Conference, use the approved FTE-1A or 1B Report.
Source:   J:\Finance\Fees\1 Archive Fees\2020-21\Fee Calculator 2020-21(Using 2020-21 FTE-2A) DRS FALL FEES 032321.xlsx
Use the 2020-21 Tab to complete this chart.
</t>
        </r>
      </text>
    </comment>
    <comment ref="T109" authorId="7"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family val="2"/>
          </rPr>
          <t xml:space="preserve">Comment:
    Upper Level FTE Resident, Cell Q93
</t>
        </r>
      </text>
    </comment>
    <comment ref="E112" authorId="9" shapeId="0">
      <text>
        <r>
          <rPr>
            <sz val="10"/>
            <rFont val="Arial"/>
            <family val="2"/>
          </rPr>
          <t>Comment:
    A &amp; P Resident, Cell B93
Resident A &amp; P Fee Paying FTE does not include non-Florida Resident FTE and Dual Enrolled FTE.</t>
        </r>
      </text>
    </comment>
    <comment ref="F112" authorId="10" shapeId="0">
      <text>
        <r>
          <rPr>
            <sz val="10"/>
            <rFont val="Arial"/>
            <family val="2"/>
          </rPr>
          <t>[Threaded comment]
Comment:
    A &amp; P FTE Estimated Non-Florida Resident, Cell P54</t>
        </r>
      </text>
    </comment>
    <comment ref="H112" authorId="11" shapeId="0">
      <text>
        <r>
          <rPr>
            <sz val="10"/>
            <rFont val="Arial"/>
            <family val="2"/>
          </rPr>
          <t xml:space="preserve">
Comment:
    PSV FTE Resident, Cell E93
Resident PSV Fee Paying FTE does not include non-Florida Resident FTE and Dual Enrolled FTE. 
</t>
        </r>
      </text>
    </comment>
    <comment ref="I112" authorId="12" shapeId="0">
      <text>
        <r>
          <rPr>
            <sz val="10"/>
            <rFont val="Arial"/>
            <family val="2"/>
          </rPr>
          <t xml:space="preserve">Comment:
    PSV Estimated Non-Florida Resident FTE, Cell Q54
</t>
        </r>
      </text>
    </comment>
    <comment ref="K112" authorId="13" shapeId="0">
      <text>
        <r>
          <rPr>
            <sz val="10"/>
            <rFont val="Arial"/>
            <family val="2"/>
          </rPr>
          <t xml:space="preserve">Comment:
    DEV ED FTE Resident, Cell H93
Resident DEV ED Fee Paying FTE does not include non-Florida Resident FTE.
</t>
        </r>
      </text>
    </comment>
    <comment ref="L112" authorId="14" shapeId="0">
      <text>
        <r>
          <rPr>
            <sz val="10"/>
            <rFont val="Arial"/>
            <family val="2"/>
          </rPr>
          <t>Comment:
    DEV ED Estimated Non-Florida Resident FTE, Cell T54</t>
        </r>
      </text>
    </comment>
    <comment ref="N112" authorId="15" shapeId="0">
      <text>
        <r>
          <rPr>
            <sz val="10"/>
            <rFont val="Arial"/>
            <family val="2"/>
          </rPr>
          <t>Comment:
    EPI FTE Resident, Cell K93. 
Resident EPI Fee Paying FTE does not include non-Florida Resident FTE.</t>
        </r>
      </text>
    </comment>
    <comment ref="O112" authorId="16" shapeId="0">
      <text>
        <r>
          <rPr>
            <sz val="10"/>
            <rFont val="Arial"/>
            <family val="2"/>
          </rPr>
          <t>Comment:
    EPI Estimated Non-Florida Resident FTE, Cell W54</t>
        </r>
      </text>
    </comment>
    <comment ref="Q112" authorId="17" shapeId="0">
      <text>
        <r>
          <rPr>
            <sz val="10"/>
            <rFont val="Arial"/>
            <family val="2"/>
          </rPr>
          <t xml:space="preserve">Comment:
    CCATD FTE Resident, Cell N93. 
Resident CCATD Paying FTE does not include non-Florida Resident FTE and Dual Enrolled FTE. </t>
        </r>
      </text>
    </comment>
    <comment ref="R112" authorId="18" shapeId="0">
      <text>
        <r>
          <rPr>
            <sz val="10"/>
            <rFont val="Arial"/>
            <family val="2"/>
          </rPr>
          <t>Comment:
    CCATD FTE Estimated Non-Florida Resident FTE, Cell R54.</t>
        </r>
      </text>
    </comment>
    <comment ref="W112" authorId="19" shapeId="0">
      <text>
        <r>
          <rPr>
            <sz val="10"/>
            <rFont val="Arial"/>
            <family val="2"/>
          </rPr>
          <t>Comment:
    Voc Prep FTE Estimated Non-Florida Resident, Cell U54</t>
        </r>
      </text>
    </comment>
    <comment ref="X112" authorId="20" shapeId="0">
      <text>
        <r>
          <rPr>
            <sz val="10"/>
            <rFont val="Arial"/>
            <family val="2"/>
          </rPr>
          <t xml:space="preserve">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family val="2"/>
          </rPr>
          <t>Comment:
    Adult FTE Estimated Non-Florida Resident, Cell V54</t>
        </r>
      </text>
    </comment>
    <comment ref="AE112" authorId="22" shapeId="0">
      <text>
        <r>
          <rPr>
            <sz val="10"/>
            <rFont val="Arial"/>
            <family val="2"/>
          </rPr>
          <t xml:space="preserve">Comment:
    Adult Basic FTE, Cell H54
 </t>
        </r>
      </text>
    </comment>
    <comment ref="AF112" authorId="23" shapeId="0">
      <text>
        <r>
          <rPr>
            <sz val="10"/>
            <rFont val="Arial"/>
            <family val="2"/>
          </rPr>
          <t>Comment:
    Adult Second. &amp; GED  FTE, Cell I54</t>
        </r>
      </text>
    </comment>
    <comment ref="AO114" authorId="24" shapeId="0">
      <text>
        <r>
          <rPr>
            <sz val="10"/>
            <rFont val="Arial"/>
            <family val="2"/>
          </rPr>
          <t>Comment:
    Fee Calculator File:   This amount is from the Estimated Duel Enrolled FTE Total Column, Cell AF82.</t>
        </r>
      </text>
    </comment>
    <comment ref="AO115" authorId="25" shapeId="0">
      <text>
        <r>
          <rPr>
            <sz val="10"/>
            <rFont val="Arial"/>
            <family val="2"/>
          </rPr>
          <t xml:space="preserve">Comment:
    Fee Calculator File: Apprent FTE Total, Cell E82 minus the Estimated Dual Enrolled Apprent FTE, Cell AE82. 
</t>
        </r>
      </text>
    </comment>
    <comment ref="AO118" authorId="26" shapeId="0">
      <text>
        <r>
          <rPr>
            <sz val="10"/>
            <rFont val="Arial"/>
            <family val="2"/>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A108 to S141</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A108 to S141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2"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2"/>
            <color indexed="81"/>
            <rFont val="Arial"/>
            <family val="2"/>
          </rPr>
          <t xml:space="preserve">Comment:
    This cell will automatically populate. Should agree with Exhibit C, Cell H10. Resident and nonresident students pay resident tuition.
</t>
        </r>
      </text>
    </comment>
    <comment ref="D126"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<sst xmlns="http://schemas.openxmlformats.org/spreadsheetml/2006/main" count="1314" uniqueCount="796">
  <si>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</si>
  <si>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</si>
  <si>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</si>
  <si>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</si>
  <si>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</si>
  <si>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</si>
  <si>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</si>
  <si>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</si>
  <si>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</si>
  <si>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</si>
  <si>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</si>
  <si>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</si>
  <si>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</si>
  <si>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</si>
  <si>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</si>
  <si>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</si>
  <si>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</si>
  <si>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</si>
  <si>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</si>
  <si>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</si>
  <si>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</si>
  <si>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</si>
  <si>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</si>
  <si>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</si>
  <si>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</si>
  <si>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</si>
  <si>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</si>
  <si>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</si>
  <si>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</si>
  <si>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</si>
  <si>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</si>
  <si>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</si>
  <si>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</si>
  <si>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</si>
  <si>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</si>
  <si>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</si>
  <si>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</si>
  <si>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</si>
  <si>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</si>
  <si>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</si>
  <si>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</si>
  <si>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</si>
  <si>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</si>
  <si>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</si>
  <si>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</si>
  <si>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</si>
  <si>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</si>
  <si>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</si>
  <si>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</si>
  <si>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</si>
  <si>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</si>
  <si>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</si>
  <si>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</si>
  <si>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</si>
  <si>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</si>
  <si>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</si>
  <si>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</si>
  <si>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</si>
  <si>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</si>
  <si>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</si>
  <si>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</si>
  <si>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</si>
  <si>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</si>
  <si>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</si>
  <si>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</si>
  <si>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</si>
  <si>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</si>
  <si>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</si>
  <si>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</si>
  <si>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</si>
  <si>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</si>
  <si>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</si>
  <si>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</si>
  <si>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</si>
  <si>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</si>
  <si>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</si>
  <si>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</si>
  <si>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</si>
  <si>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</si>
  <si>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</si>
  <si>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</si>
  <si>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</si>
  <si>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</si>
  <si>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</si>
  <si>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</si>
  <si>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</si>
  <si>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</si>
  <si>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</si>
  <si>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</si>
  <si>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</si>
  <si>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</si>
  <si>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</si>
  <si>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</si>
  <si>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</si>
  <si>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</si>
  <si>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</si>
  <si>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</si>
  <si>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</si>
  <si>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</si>
  <si>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</si>
  <si>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</si>
  <si>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</si>
  <si>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</si>
  <si>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</si>
  <si>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</si>
  <si>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</si>
  <si>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</si>
  <si>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</si>
  <si>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</si>
  <si>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</si>
  <si>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</si>
  <si>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</si>
  <si>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</si>
  <si>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</si>
  <si>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</si>
  <si>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</si>
  <si>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</si>
  <si>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</si>
  <si>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</si>
  <si>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</si>
  <si>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</si>
  <si>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</si>
  <si>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</si>
  <si>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</si>
  <si>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</si>
  <si>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</si>
  <si>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</si>
  <si>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</si>
  <si>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</si>
  <si>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</si>
  <si>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</si>
  <si>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</si>
  <si>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</si>
  <si>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</si>
  <si>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</si>
  <si>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</si>
  <si>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</si>
  <si>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</si>
  <si>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</si>
  <si>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</si>
  <si>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</si>
  <si>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</si>
  <si>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</si>
  <si>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</si>
  <si>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</si>
  <si>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</si>
  <si>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</si>
  <si>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</si>
  <si>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</si>
  <si>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</si>
  <si>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</si>
  <si>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</si>
  <si>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</si>
  <si>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</si>
  <si>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</si>
  <si>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</si>
  <si>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</si>
  <si>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</si>
  <si>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</si>
  <si>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</si>
  <si>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</si>
  <si>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</si>
  <si>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</si>
  <si>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</si>
  <si>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</si>
  <si>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</si>
  <si>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</si>
  <si>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</si>
  <si>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</si>
  <si>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</si>
  <si>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</si>
  <si>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</si>
  <si>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</si>
  <si>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</si>
  <si>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</si>
  <si>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</si>
  <si>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</si>
  <si>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</si>
  <si>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</si>
  <si>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</si>
  <si>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</si>
  <si>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</si>
  <si>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</si>
  <si>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</si>
  <si>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</si>
  <si>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</si>
  <si>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</si>
  <si>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</si>
  <si>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</si>
  <si>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</si>
  <si>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</si>
  <si>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</si>
  <si>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</si>
  <si>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</si>
  <si>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</si>
  <si>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</si>
  <si>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</si>
  <si>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</si>
  <si>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</si>
  <si>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</si>
  <si>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</si>
  <si>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</si>
  <si>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</si>
  <si>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</si>
  <si>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</si>
  <si>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</si>
  <si>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</si>
  <si>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</si>
  <si>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</si>
  <si>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</si>
  <si>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</si>
  <si>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</si>
  <si>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</si>
  <si>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</si>
  <si>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</si>
  <si>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</si>
  <si>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</si>
  <si>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</si>
  <si>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</si>
  <si>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</si>
  <si>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</si>
  <si>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</si>
  <si>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</si>
  <si>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</si>
  <si>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</si>
  <si>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</si>
  <si>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</si>
  <si>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</si>
  <si>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</si>
  <si>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</si>
  <si>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</si>
  <si>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</si>
  <si>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</si>
  <si>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</si>
  <si>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</si>
  <si>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</si>
  <si>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</si>
  <si>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</si>
  <si>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</si>
  <si>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</si>
  <si>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</si>
  <si>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</si>
  <si>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</si>
  <si>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</si>
  <si>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</si>
  <si>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</si>
  <si>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</si>
  <si>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</si>
  <si>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</si>
  <si>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</si>
  <si>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</si>
  <si>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</si>
  <si>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</si>
  <si>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</si>
  <si>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</si>
  <si>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</si>
  <si>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</si>
  <si>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</si>
  <si>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</si>
  <si>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</si>
  <si>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</si>
  <si>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</si>
  <si>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</si>
  <si>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</si>
  <si>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</si>
  <si>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</si>
  <si>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</si>
  <si>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</si>
  <si>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</si>
  <si>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</si>
  <si>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</si>
  <si>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</si>
  <si>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</si>
  <si>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</si>
  <si>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</si>
  <si>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</si>
  <si>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</si>
  <si>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</si>
  <si>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</si>
  <si>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</si>
  <si>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</si>
  <si>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</si>
  <si>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</si>
  <si>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</si>
  <si>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</si>
  <si>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</si>
  <si>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</si>
  <si>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</si>
  <si>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</si>
  <si>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</si>
  <si>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</si>
  <si>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</si>
  <si>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</si>
  <si>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</si>
  <si>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</si>
  <si>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</si>
  <si>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</si>
  <si>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</si>
  <si>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</si>
  <si>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</si>
  <si>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</si>
  <si>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</si>
  <si>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</si>
  <si>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</si>
  <si>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</si>
  <si>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</si>
  <si>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</si>
  <si>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</si>
  <si>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</si>
  <si>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</si>
  <si>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</si>
  <si>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</si>
  <si>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</si>
  <si>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</si>
  <si>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</si>
  <si>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</si>
  <si>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</si>
  <si>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</si>
  <si>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</si>
  <si>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</si>
  <si>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</si>
  <si>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</si>
  <si>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</si>
  <si>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</si>
  <si>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</si>
  <si>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</si>
  <si>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</si>
  <si>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</si>
  <si>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</si>
  <si>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</si>
  <si>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</si>
  <si>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</si>
  <si>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</si>
  <si>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</si>
  <si>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</si>
  <si>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</si>
  <si>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</si>
  <si>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</si>
  <si>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</si>
  <si>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</si>
  <si>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</si>
  <si>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</si>
  <si>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</si>
  <si>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</si>
  <si>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</si>
  <si>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</si>
  <si>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</si>
  <si>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</si>
  <si>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</si>
  <si>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</si>
  <si>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</si>
  <si>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</si>
  <si>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</si>
  <si>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</si>
  <si>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</si>
  <si>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</si>
  <si>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</si>
  <si>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</si>
  <si>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</si>
  <si>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</si>
  <si>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</si>
  <si>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</si>
  <si>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</si>
  <si>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</si>
  <si>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</si>
  <si>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</si>
  <si>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</si>
  <si>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</si>
  <si>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</si>
  <si>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</si>
  <si>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</si>
  <si>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</si>
  <si>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</si>
  <si>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</si>
  <si>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</si>
  <si>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</si>
  <si>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</si>
  <si>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</si>
  <si>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</si>
  <si>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</si>
  <si>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</si>
  <si>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</si>
  <si>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</si>
  <si>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</si>
  <si>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</si>
  <si>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</si>
  <si>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</si>
  <si>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</si>
  <si>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</si>
  <si>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</si>
  <si>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</si>
  <si>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</si>
  <si>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</si>
  <si>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</si>
  <si>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</si>
  <si>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</si>
  <si>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</si>
  <si>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</si>
  <si>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</si>
  <si>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</si>
  <si>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</si>
  <si>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</si>
  <si>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</si>
  <si>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</si>
  <si>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</si>
  <si>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</si>
  <si>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</si>
  <si>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</si>
  <si>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</si>
  <si>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</si>
  <si>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</si>
  <si>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</si>
  <si>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</si>
  <si>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</si>
  <si>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</si>
  <si>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</si>
  <si>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</si>
  <si>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</si>
  <si>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</si>
  <si>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</si>
  <si>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</si>
  <si>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</si>
  <si>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</si>
  <si>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</si>
  <si>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</si>
  <si>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</si>
  <si>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</si>
  <si>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</si>
  <si>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</si>
  <si>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</si>
  <si>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</si>
  <si>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</si>
  <si>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</si>
  <si>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</si>
  <si>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</si>
  <si>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</si>
  <si>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</si>
  <si>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</si>
  <si>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</si>
  <si>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</si>
  <si>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</si>
  <si>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</si>
  <si>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</si>
  <si>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</si>
  <si>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</si>
  <si>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</si>
  <si>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</si>
  <si>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</si>
  <si>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</si>
  <si>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</si>
  <si>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</si>
  <si>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</si>
  <si>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</si>
  <si>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</si>
  <si>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</si>
  <si>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</si>
  <si>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</si>
  <si>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</si>
  <si>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</si>
  <si>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</si>
  <si>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</si>
  <si>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</si>
  <si>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</si>
  <si>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</si>
  <si>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</si>
  <si>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</si>
  <si>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</si>
  <si>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</si>
  <si>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</si>
  <si>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</si>
  <si>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</si>
  <si>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</si>
  <si>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</si>
  <si>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</si>
  <si>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</si>
  <si>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</si>
  <si>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</si>
  <si>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</si>
  <si>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</si>
  <si>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</si>
  <si>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</si>
  <si>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</si>
  <si>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</si>
  <si>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</si>
  <si>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</si>
  <si>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</si>
  <si>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</si>
  <si>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</si>
  <si>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</si>
  <si>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</si>
  <si>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</si>
  <si>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</si>
  <si>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</si>
  <si>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</si>
  <si>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</si>
  <si>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</si>
  <si>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</si>
  <si>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</si>
  <si>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</si>
  <si>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</si>
  <si>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</si>
  <si>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</si>
  <si>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</si>
  <si>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</si>
  <si>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</si>
  <si>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</si>
  <si>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</si>
  <si>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</si>
  <si>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</si>
  <si>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</si>
  <si>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</si>
  <si>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</si>
  <si>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</si>
  <si>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</si>
  <si>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</si>
  <si>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</si>
  <si>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</si>
  <si>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</si>
  <si>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</si>
  <si>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</si>
  <si>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</si>
  <si>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</si>
  <si>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</si>
  <si>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</si>
  <si>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</si>
  <si>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</si>
  <si>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</si>
  <si>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</si>
  <si>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</si>
  <si>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</si>
  <si>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</si>
  <si>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</si>
  <si>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</si>
  <si>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</si>
  <si>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</si>
  <si>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</si>
  <si>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</si>
  <si>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</si>
  <si>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</si>
  <si>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</si>
  <si>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</si>
  <si>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</si>
  <si>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</si>
  <si>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</si>
  <si>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</si>
  <si>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</si>
  <si>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</si>
  <si>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</si>
  <si>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</si>
  <si>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</si>
  <si>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</si>
  <si>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</si>
  <si>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</si>
  <si>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</si>
  <si>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</si>
  <si>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</si>
  <si>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</si>
  <si>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</si>
  <si>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</si>
  <si>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</si>
  <si>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</si>
  <si>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</si>
  <si>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</si>
  <si>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</si>
  <si>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</si>
  <si>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</si>
  <si>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</si>
  <si>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</si>
  <si>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</si>
  <si>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</si>
  <si>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</si>
  <si>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</si>
  <si>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</si>
  <si>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</si>
  <si>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</si>
  <si>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</si>
  <si>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</si>
  <si>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</si>
  <si>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</si>
  <si>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</si>
  <si>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</si>
  <si>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</si>
  <si>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</si>
  <si>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</si>
  <si>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</si>
  <si>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</si>
  <si>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</si>
  <si>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</si>
  <si>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</si>
  <si>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</si>
  <si>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</si>
  <si>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</si>
  <si>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</si>
  <si>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</si>
  <si>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</si>
  <si>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</si>
  <si>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</si>
  <si>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</si>
  <si>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</si>
  <si>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</si>
  <si>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</si>
  <si>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</si>
  <si>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</si>
  <si>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</si>
  <si>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</si>
  <si>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</si>
  <si>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</si>
  <si>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</si>
  <si>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</si>
  <si>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</si>
  <si>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</si>
  <si>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</si>
  <si>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</si>
  <si>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</si>
  <si>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</si>
  <si>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</si>
  <si>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</si>
  <si>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</si>
  <si>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</si>
  <si>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</si>
  <si>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</si>
  <si>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</si>
  <si>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</si>
  <si>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</si>
  <si>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</si>
  <si>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</si>
  <si>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</si>
  <si>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</si>
  <si>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</si>
  <si>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</si>
  <si>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</si>
  <si>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</si>
  <si>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</si>
  <si>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</si>
  <si>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</si>
  <si>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</si>
  <si>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</si>
  <si>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</si>
  <si>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</si>
  <si>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</si>
  <si>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</si>
  <si>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</si>
  <si>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</si>
  <si>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</si>
  <si>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</si>
  <si>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</si>
  <si>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</si>
  <si>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</si>
  <si>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</si>
  <si>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</si>
  <si>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</si>
  <si>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</si>
  <si>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</si>
  <si>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</si>
  <si>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</si>
  <si>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</si>
  <si>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</si>
  <si>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</si>
  <si>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</si>
  <si>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</si>
  <si>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</si>
  <si>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</si>
  <si>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</si>
  <si>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</si>
  <si>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</si>
  <si>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</si>
  <si>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</si>
  <si>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</si>
  <si>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</si>
  <si>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</si>
  <si>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</si>
  <si>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</si>
  <si>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</si>
  <si>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</si>
  <si>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</si>
  <si>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</si>
  <si>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</si>
  <si>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</si>
  <si>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</si>
  <si>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</si>
  <si>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</si>
  <si>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</si>
  <si>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</si>
  <si>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</si>
  <si>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</si>
  <si>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</si>
  <si>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</si>
  <si>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</si>
  <si>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</si>
  <si>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</si>
  <si>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</si>
  <si>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</si>
  <si>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</si>
  <si>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</si>
  <si>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</si>
  <si>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</si>
  <si>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</si>
  <si>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</si>
  <si>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</si>
  <si>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</si>
  <si>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</si>
  <si>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</si>
  <si>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</si>
  <si>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</si>
  <si>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</si>
  <si>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</si>
  <si>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</si>
  <si>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</si>
  <si>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</si>
  <si>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</si>
  <si>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</si>
  <si>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</si>
  <si>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</si>
  <si>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</si>
  <si>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</si>
  <si>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</si>
  <si>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</si>
  <si>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</si>
  <si>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</si>
  <si>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</si>
  <si>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</si>
  <si>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</si>
  <si>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</si>
  <si>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</si>
  <si>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</si>
  <si>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</si>
  <si>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</si>
  <si>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</si>
  <si>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</si>
  <si>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</si>
  <si>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</si>
  <si>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</si>
  <si>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</si>
  <si>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</si>
  <si>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</si>
  <si>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</si>
  <si>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</si>
  <si>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</si>
  <si>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</si>
  <si>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</si>
  <si>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Current</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</si>
  <si>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</si>
  <si>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</si>
  <si>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</si>
  <si>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</si>
  <si>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</si>
  <si>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</si>
  <si>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</si>
  <si>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</si>
  <si>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</si>
  <si>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</si>
  <si>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</si>
  <si>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</si>
  <si>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</si>
  <si>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</si>
  <si>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</si>
  <si>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</si>
  <si>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</si>
  <si>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</si>
  <si>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</si>
  <si>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</si>
  <si>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</si>
  <si>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</si>
  <si>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</si>
  <si>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</si>
  <si>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</si>
  <si>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</si>
  <si>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</si>
  <si>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</si>
  <si>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</si>
  <si>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</si>
  <si>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</si>
  <si>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</si>
  <si>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</si>
  <si>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</si>
  <si>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</si>
  <si>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</si>
  <si>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</si>
  <si>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</si>
  <si>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</si>
  <si>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</si>
  <si>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</si>
  <si>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</si>
  <si>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</si>
  <si>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</si>
  <si>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</si>
  <si>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</si>
  <si>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</si>
  <si>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</si>
  <si>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</si>
  <si>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</si>
  <si>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</si>
  <si>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Auxiliary Funds</t>
  </si>
  <si>
    <t>PR Funds</t>
  </si>
  <si>
    <t>The college bases its budget projections on revenue and not necessarily credit hours/FTE which accounts for the slight % difference.</t>
  </si>
  <si>
    <t>The college bases its budget projections on revenue and not necessarily credit hours/FTE which accounts for the % 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</si>
</sst>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6" applyNumberFormat="0" applyAlignment="0" applyProtection="0"/>
    <xf numFmtId="0" fontId="87" fillId="44" borderId="139"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3"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4"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5"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6" applyNumberFormat="0" applyAlignment="0" applyProtection="0"/>
    <xf numFmtId="0" fontId="94" fillId="0" borderId="138"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64" fillId="45" borderId="140" applyNumberFormat="0" applyFont="0" applyAlignment="0" applyProtection="0"/>
    <xf numFmtId="0" fontId="96" fillId="43" borderId="137"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1"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28"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50" fillId="7" borderId="142" applyNumberFormat="0" applyAlignment="0" applyProtection="0"/>
    <xf numFmtId="0" fontId="28" fillId="7"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43" fillId="20" borderId="142" applyNumberFormat="0" applyAlignment="0" applyProtection="0"/>
    <xf numFmtId="0" fontId="43" fillId="20"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2" applyNumberFormat="0" applyAlignment="0" applyProtection="0"/>
    <xf numFmtId="0" fontId="30" fillId="20" borderId="142" applyNumberFormat="0" applyAlignment="0" applyProtection="0"/>
    <xf numFmtId="0" fontId="30" fillId="20" borderId="142" applyNumberFormat="0" applyAlignment="0" applyProtection="0"/>
    <xf numFmtId="0" fontId="50" fillId="7" borderId="142" applyNumberFormat="0" applyAlignment="0" applyProtection="0"/>
    <xf numFmtId="0" fontId="28" fillId="7" borderId="142" applyNumberFormat="0" applyAlignment="0" applyProtection="0"/>
    <xf numFmtId="0" fontId="3" fillId="0" borderId="0"/>
    <xf numFmtId="0" fontId="3" fillId="0" borderId="0"/>
    <xf numFmtId="0" fontId="3" fillId="0" borderId="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3" fillId="20" borderId="144" applyNumberFormat="0" applyAlignment="0" applyProtection="0"/>
    <xf numFmtId="0" fontId="29" fillId="20" borderId="144" applyNumberFormat="0" applyAlignment="0" applyProtection="0"/>
    <xf numFmtId="0" fontId="29" fillId="20" borderId="144" applyNumberFormat="0" applyAlignment="0" applyProtection="0"/>
    <xf numFmtId="0" fontId="54" fillId="0" borderId="145" applyNumberFormat="0" applyFill="0" applyAlignment="0" applyProtection="0"/>
    <xf numFmtId="0" fontId="35" fillId="0" borderId="145" applyNumberFormat="0" applyFill="0" applyAlignment="0" applyProtection="0"/>
    <xf numFmtId="0" fontId="35" fillId="0" borderId="145"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16">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50"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8"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4" xfId="0" applyNumberFormat="1" applyFont="1" applyFill="1" applyBorder="1"/>
    <xf numFmtId="3" fontId="72" fillId="36" borderId="155"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3"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5"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7" xfId="0" applyFont="1" applyBorder="1" applyAlignment="1" applyProtection="1">
      <alignment horizontal="center" wrapText="1"/>
    </xf>
    <xf numFmtId="37" fontId="78" fillId="0" borderId="108" xfId="0" applyNumberFormat="1" applyFont="1" applyBorder="1" applyProtection="1"/>
    <xf numFmtId="37" fontId="78" fillId="24" borderId="56"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09"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1"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3"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4"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59"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6" xfId="0" applyFont="1" applyFill="1" applyBorder="1" applyAlignment="1">
      <alignment vertical="center"/>
    </xf>
    <xf numFmtId="0" fontId="151" fillId="0" borderId="165" xfId="0" applyFont="1" applyFill="1" applyBorder="1" applyAlignment="1">
      <alignment vertical="center"/>
    </xf>
    <xf numFmtId="0" fontId="105" fillId="0" borderId="39"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1"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58"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0" xfId="0" applyNumberFormat="1" applyFont="1" applyFill="1" applyBorder="1"/>
    <xf numFmtId="0" fontId="151" fillId="0" borderId="167" xfId="0" applyFont="1" applyFill="1" applyBorder="1" applyAlignment="1">
      <alignment vertical="center"/>
    </xf>
    <xf numFmtId="0" fontId="74" fillId="0" borderId="19" xfId="0" applyFont="1" applyFill="1" applyBorder="1"/>
    <xf numFmtId="0" fontId="72" fillId="0" borderId="168"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6" xfId="0" applyNumberFormat="1" applyFont="1" applyFill="1" applyBorder="1"/>
    <xf numFmtId="168" fontId="105" fillId="32" borderId="157"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2"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3"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48"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1"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0" xfId="0" applyNumberFormat="1" applyFont="1" applyBorder="1" applyProtection="1"/>
    <xf numFmtId="37" fontId="100" fillId="0" borderId="170" xfId="0" applyNumberFormat="1" applyFont="1" applyFill="1" applyBorder="1" applyProtection="1"/>
    <xf numFmtId="37" fontId="108" fillId="0" borderId="170" xfId="0" applyNumberFormat="1" applyFont="1" applyBorder="1" applyProtection="1"/>
    <xf numFmtId="37" fontId="129" fillId="0" borderId="170" xfId="0" applyNumberFormat="1" applyFont="1" applyBorder="1" applyProtection="1"/>
    <xf numFmtId="37" fontId="129" fillId="0" borderId="0" xfId="0" applyNumberFormat="1" applyFont="1" applyBorder="1" applyProtection="1"/>
    <xf numFmtId="37" fontId="100" fillId="24" borderId="170"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0"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0" xfId="0" applyNumberFormat="1" applyFont="1" applyBorder="1" applyAlignment="1" applyProtection="1">
      <alignment horizontal="fill"/>
    </xf>
    <xf numFmtId="37" fontId="100" fillId="25" borderId="170" xfId="0" applyNumberFormat="1" applyFont="1" applyFill="1" applyBorder="1" applyProtection="1"/>
    <xf numFmtId="0" fontId="108" fillId="0" borderId="170" xfId="0" applyFont="1" applyBorder="1" applyProtection="1"/>
    <xf numFmtId="37" fontId="108" fillId="0" borderId="171"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2" xfId="0" applyNumberFormat="1" applyFont="1" applyFill="1" applyBorder="1" applyProtection="1"/>
    <xf numFmtId="37" fontId="108" fillId="0" borderId="174" xfId="0" applyNumberFormat="1" applyFont="1" applyBorder="1" applyProtection="1"/>
    <xf numFmtId="37" fontId="108" fillId="0" borderId="173" xfId="0" applyNumberFormat="1" applyFont="1" applyBorder="1" applyProtection="1"/>
    <xf numFmtId="37" fontId="108" fillId="0" borderId="173" xfId="0" applyNumberFormat="1" applyFont="1" applyBorder="1" applyAlignment="1" applyProtection="1">
      <alignment horizontal="center" wrapText="1"/>
    </xf>
    <xf numFmtId="37" fontId="108" fillId="0" borderId="169"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6" xfId="0" applyNumberFormat="1" applyFont="1" applyBorder="1" applyAlignment="1" applyProtection="1">
      <alignment horizontal="right"/>
    </xf>
    <xf numFmtId="5" fontId="130" fillId="75" borderId="172" xfId="0" applyNumberFormat="1" applyFont="1" applyFill="1" applyBorder="1" applyProtection="1"/>
    <xf numFmtId="37" fontId="108" fillId="0" borderId="177" xfId="0" applyNumberFormat="1" applyFont="1" applyBorder="1" applyProtection="1"/>
    <xf numFmtId="37" fontId="100" fillId="0" borderId="178" xfId="0" applyNumberFormat="1" applyFont="1" applyBorder="1" applyProtection="1"/>
    <xf numFmtId="37" fontId="100" fillId="0" borderId="179" xfId="0" applyNumberFormat="1" applyFont="1" applyBorder="1" applyAlignment="1" applyProtection="1">
      <alignment horizontal="right"/>
    </xf>
    <xf numFmtId="5" fontId="108" fillId="75" borderId="179" xfId="0" applyNumberFormat="1" applyFont="1" applyFill="1" applyBorder="1" applyProtection="1"/>
    <xf numFmtId="5" fontId="130" fillId="75" borderId="180"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4" xfId="0" applyNumberFormat="1" applyFont="1" applyFill="1" applyBorder="1" applyProtection="1"/>
    <xf numFmtId="37" fontId="100" fillId="30" borderId="173" xfId="0" applyNumberFormat="1" applyFont="1" applyFill="1" applyBorder="1" applyProtection="1"/>
    <xf numFmtId="37" fontId="100" fillId="30" borderId="175" xfId="0" applyNumberFormat="1" applyFont="1" applyFill="1" applyBorder="1" applyProtection="1"/>
    <xf numFmtId="37" fontId="100" fillId="30" borderId="169"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1" xfId="0" applyFont="1" applyFill="1" applyBorder="1" applyProtection="1"/>
    <xf numFmtId="0" fontId="72" fillId="0" borderId="181" xfId="0" applyFont="1" applyBorder="1"/>
    <xf numFmtId="0" fontId="72" fillId="0" borderId="181" xfId="0" applyFont="1" applyBorder="1" applyAlignment="1">
      <alignment horizontal="center"/>
    </xf>
    <xf numFmtId="3" fontId="156" fillId="32" borderId="181" xfId="17654" applyNumberFormat="1" applyFont="1" applyFill="1" applyBorder="1" applyAlignment="1" applyProtection="1">
      <alignment horizontal="right"/>
      <protection locked="0"/>
    </xf>
    <xf numFmtId="4" fontId="72" fillId="0" borderId="181" xfId="0" applyNumberFormat="1" applyFont="1" applyBorder="1"/>
    <xf numFmtId="168" fontId="72" fillId="0" borderId="181"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6"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3" xfId="0" applyFont="1" applyFill="1" applyBorder="1" applyAlignment="1">
      <alignment horizontal="center"/>
    </xf>
    <xf numFmtId="166" fontId="72" fillId="32" borderId="184" xfId="0" applyNumberFormat="1" applyFont="1" applyFill="1" applyBorder="1"/>
    <xf numFmtId="166" fontId="72" fillId="36" borderId="183" xfId="0" applyNumberFormat="1" applyFont="1" applyFill="1" applyBorder="1"/>
    <xf numFmtId="4" fontId="72" fillId="0" borderId="183" xfId="181" applyNumberFormat="1" applyFont="1" applyBorder="1" applyProtection="1"/>
    <xf numFmtId="37" fontId="100" fillId="0" borderId="185" xfId="0" applyNumberFormat="1" applyFont="1" applyBorder="1" applyProtection="1"/>
    <xf numFmtId="37" fontId="100" fillId="0" borderId="186" xfId="0" applyNumberFormat="1" applyFont="1" applyBorder="1" applyAlignment="1" applyProtection="1">
      <alignment horizontal="right"/>
    </xf>
    <xf numFmtId="37" fontId="100" fillId="0" borderId="187" xfId="0" applyNumberFormat="1" applyFont="1" applyBorder="1" applyProtection="1"/>
    <xf numFmtId="0" fontId="100" fillId="0" borderId="185" xfId="0" applyFont="1" applyBorder="1" applyProtection="1"/>
    <xf numFmtId="0" fontId="100" fillId="0" borderId="186" xfId="0" applyFont="1" applyBorder="1" applyAlignment="1" applyProtection="1">
      <alignment horizontal="right"/>
    </xf>
    <xf numFmtId="37" fontId="108" fillId="0" borderId="188" xfId="0" applyNumberFormat="1" applyFont="1" applyBorder="1" applyAlignment="1" applyProtection="1">
      <alignment horizontal="fill"/>
    </xf>
    <xf numFmtId="37" fontId="108" fillId="24" borderId="188" xfId="0" applyNumberFormat="1" applyFont="1" applyFill="1" applyBorder="1" applyAlignment="1" applyProtection="1">
      <alignment horizontal="fill"/>
    </xf>
    <xf numFmtId="37" fontId="108" fillId="24" borderId="189" xfId="0" applyNumberFormat="1" applyFont="1" applyFill="1" applyBorder="1" applyAlignment="1" applyProtection="1">
      <alignment horizontal="fill"/>
    </xf>
    <xf numFmtId="170" fontId="74" fillId="32" borderId="185" xfId="181" applyNumberFormat="1" applyFont="1" applyFill="1" applyBorder="1"/>
    <xf numFmtId="170" fontId="74" fillId="0" borderId="185" xfId="181" applyNumberFormat="1" applyFont="1" applyFill="1" applyBorder="1"/>
    <xf numFmtId="0" fontId="74" fillId="0" borderId="185" xfId="0" applyFont="1" applyBorder="1" applyAlignment="1" applyProtection="1">
      <alignment horizontal="center" wrapText="1"/>
    </xf>
    <xf numFmtId="3" fontId="160" fillId="32" borderId="185" xfId="182" applyNumberFormat="1" applyFont="1" applyFill="1" applyBorder="1" applyProtection="1">
      <protection locked="0"/>
    </xf>
    <xf numFmtId="5" fontId="72" fillId="0" borderId="185" xfId="181" applyNumberFormat="1" applyFont="1" applyFill="1" applyBorder="1" applyProtection="1"/>
    <xf numFmtId="5" fontId="72" fillId="0" borderId="185" xfId="181" applyNumberFormat="1" applyFont="1" applyBorder="1" applyProtection="1"/>
    <xf numFmtId="5" fontId="72" fillId="0" borderId="185" xfId="181" quotePrefix="1" applyNumberFormat="1" applyFont="1" applyFill="1" applyBorder="1" applyProtection="1"/>
    <xf numFmtId="5" fontId="72" fillId="0" borderId="185" xfId="0" applyNumberFormat="1" applyFont="1" applyBorder="1" applyProtection="1"/>
    <xf numFmtId="10" fontId="74" fillId="0" borderId="185" xfId="3292" applyNumberFormat="1" applyFont="1" applyBorder="1" applyProtection="1"/>
    <xf numFmtId="0" fontId="74" fillId="0" borderId="185" xfId="0" applyFont="1" applyBorder="1" applyProtection="1"/>
    <xf numFmtId="165" fontId="72" fillId="0" borderId="185" xfId="192" applyNumberFormat="1" applyFont="1" applyBorder="1" applyProtection="1"/>
    <xf numFmtId="37" fontId="100" fillId="0" borderId="188"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0"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2" xfId="495" applyFont="1" applyFill="1" applyBorder="1" applyAlignment="1">
      <alignment horizontal="center" wrapText="1"/>
    </xf>
    <xf numFmtId="3" fontId="72" fillId="32" borderId="192" xfId="181" applyNumberFormat="1" applyFont="1" applyFill="1" applyBorder="1"/>
    <xf numFmtId="0" fontId="74" fillId="0" borderId="192" xfId="0" applyFont="1" applyFill="1" applyBorder="1" applyAlignment="1">
      <alignment horizontal="center"/>
    </xf>
    <xf numFmtId="166" fontId="72" fillId="70" borderId="190" xfId="0" applyNumberFormat="1" applyFont="1" applyFill="1" applyBorder="1"/>
    <xf numFmtId="166" fontId="72" fillId="32" borderId="190" xfId="0" applyNumberFormat="1" applyFont="1" applyFill="1" applyBorder="1"/>
    <xf numFmtId="166" fontId="78" fillId="32" borderId="192" xfId="17654" applyNumberFormat="1" applyFont="1" applyFill="1" applyBorder="1" applyAlignment="1"/>
    <xf numFmtId="4" fontId="156" fillId="32" borderId="192" xfId="0" applyNumberFormat="1" applyFont="1" applyFill="1" applyBorder="1" applyProtection="1">
      <protection locked="0"/>
    </xf>
    <xf numFmtId="0" fontId="72" fillId="0" borderId="192" xfId="0" applyFont="1" applyBorder="1"/>
    <xf numFmtId="0" fontId="72" fillId="0" borderId="192" xfId="0" applyFont="1" applyBorder="1" applyAlignment="1">
      <alignment horizontal="center"/>
    </xf>
    <xf numFmtId="4" fontId="72" fillId="0" borderId="192" xfId="0" applyNumberFormat="1" applyFont="1" applyBorder="1"/>
    <xf numFmtId="3" fontId="72" fillId="0" borderId="192" xfId="0" applyNumberFormat="1" applyFont="1" applyBorder="1"/>
    <xf numFmtId="0" fontId="156" fillId="32" borderId="192" xfId="0" applyFont="1" applyFill="1" applyBorder="1" applyProtection="1">
      <protection locked="0"/>
    </xf>
    <xf numFmtId="3" fontId="156" fillId="32" borderId="192" xfId="0" applyNumberFormat="1" applyFont="1" applyFill="1" applyBorder="1" applyAlignment="1" applyProtection="1">
      <alignment horizontal="right"/>
      <protection locked="0"/>
    </xf>
    <xf numFmtId="0" fontId="100" fillId="0" borderId="191" xfId="0" applyFont="1" applyBorder="1"/>
    <xf numFmtId="37" fontId="100" fillId="0" borderId="195" xfId="0" applyNumberFormat="1" applyFont="1" applyBorder="1" applyProtection="1"/>
    <xf numFmtId="37" fontId="100" fillId="30" borderId="191" xfId="0" applyNumberFormat="1" applyFont="1" applyFill="1" applyBorder="1" applyProtection="1"/>
    <xf numFmtId="0" fontId="106" fillId="0" borderId="191"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8" xfId="181" applyNumberFormat="1" applyFont="1" applyBorder="1" applyProtection="1"/>
    <xf numFmtId="0" fontId="105" fillId="0" borderId="0" xfId="49346" applyFont="1" applyAlignment="1">
      <alignment wrapText="1"/>
    </xf>
    <xf numFmtId="166" fontId="72" fillId="32" borderId="199" xfId="0" applyNumberFormat="1" applyFont="1" applyFill="1" applyBorder="1"/>
    <xf numFmtId="171" fontId="72" fillId="32" borderId="199" xfId="182" applyNumberFormat="1" applyFont="1" applyFill="1" applyBorder="1"/>
    <xf numFmtId="37" fontId="157" fillId="33" borderId="200" xfId="0" applyNumberFormat="1" applyFont="1" applyFill="1" applyBorder="1" applyProtection="1">
      <protection locked="0"/>
    </xf>
    <xf numFmtId="0" fontId="74" fillId="0" borderId="85" xfId="0" applyFont="1" applyFill="1" applyBorder="1" applyAlignment="1">
      <alignment horizontal="center"/>
    </xf>
    <xf numFmtId="0" fontId="74" fillId="0" borderId="85"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08" xfId="0" applyNumberFormat="1" applyFont="1" applyFill="1" applyBorder="1"/>
    <xf numFmtId="166" fontId="72" fillId="36" borderId="201" xfId="0" applyNumberFormat="1" applyFont="1" applyFill="1" applyBorder="1"/>
    <xf numFmtId="166" fontId="72" fillId="32" borderId="208" xfId="0" applyNumberFormat="1" applyFont="1" applyFill="1" applyBorder="1"/>
    <xf numFmtId="169" fontId="72" fillId="32" borderId="209" xfId="17654" applyNumberFormat="1" applyFont="1" applyFill="1" applyBorder="1"/>
    <xf numFmtId="171" fontId="72" fillId="32" borderId="208" xfId="17654" applyNumberFormat="1" applyFont="1" applyFill="1" applyBorder="1"/>
    <xf numFmtId="171" fontId="72" fillId="32" borderId="208" xfId="182" applyNumberFormat="1" applyFont="1" applyFill="1" applyBorder="1"/>
    <xf numFmtId="166" fontId="72" fillId="36" borderId="210" xfId="0" applyNumberFormat="1" applyFont="1" applyFill="1" applyBorder="1"/>
    <xf numFmtId="0" fontId="100" fillId="0" borderId="210" xfId="0" applyFont="1" applyBorder="1" applyAlignment="1">
      <alignment horizontal="center"/>
    </xf>
    <xf numFmtId="37" fontId="100" fillId="75" borderId="206" xfId="0" applyNumberFormat="1" applyFont="1" applyFill="1" applyBorder="1" applyAlignment="1" applyProtection="1">
      <alignment horizontal="right"/>
    </xf>
    <xf numFmtId="37" fontId="100" fillId="0" borderId="197" xfId="0" applyNumberFormat="1" applyFont="1" applyBorder="1" applyAlignment="1" applyProtection="1">
      <alignment horizontal="right"/>
    </xf>
    <xf numFmtId="37" fontId="129" fillId="24" borderId="197" xfId="0" applyNumberFormat="1" applyFont="1" applyFill="1" applyBorder="1" applyProtection="1"/>
    <xf numFmtId="5" fontId="108" fillId="75" borderId="217" xfId="0" applyNumberFormat="1" applyFont="1" applyFill="1" applyBorder="1" applyProtection="1"/>
    <xf numFmtId="0" fontId="72" fillId="32" borderId="221" xfId="495" applyFont="1" applyFill="1" applyBorder="1" applyAlignment="1">
      <alignment horizontal="center" wrapText="1"/>
    </xf>
    <xf numFmtId="3" fontId="72" fillId="32" borderId="222" xfId="181" applyNumberFormat="1" applyFont="1" applyFill="1" applyBorder="1"/>
    <xf numFmtId="3" fontId="72" fillId="36" borderId="222" xfId="0" applyNumberFormat="1" applyFont="1" applyFill="1" applyBorder="1" applyAlignment="1" applyProtection="1">
      <alignment horizontal="right"/>
    </xf>
    <xf numFmtId="0" fontId="72" fillId="32" borderId="222" xfId="495" applyFont="1" applyFill="1" applyBorder="1" applyAlignment="1">
      <alignment horizontal="center" wrapText="1"/>
    </xf>
    <xf numFmtId="0" fontId="72" fillId="32" borderId="224" xfId="495" applyFont="1" applyFill="1" applyBorder="1" applyAlignment="1">
      <alignment horizontal="center" wrapText="1"/>
    </xf>
    <xf numFmtId="3" fontId="72" fillId="32" borderId="224" xfId="181" applyNumberFormat="1" applyFont="1" applyFill="1" applyBorder="1"/>
    <xf numFmtId="168" fontId="72" fillId="32" borderId="221" xfId="0" applyNumberFormat="1" applyFont="1" applyFill="1" applyBorder="1" applyAlignment="1"/>
    <xf numFmtId="0" fontId="72" fillId="0" borderId="225" xfId="0" applyFont="1" applyFill="1" applyBorder="1"/>
    <xf numFmtId="0" fontId="72" fillId="0" borderId="226" xfId="0" applyFont="1" applyFill="1" applyBorder="1"/>
    <xf numFmtId="0" fontId="72" fillId="78" borderId="226" xfId="0" applyFont="1" applyFill="1" applyBorder="1"/>
    <xf numFmtId="3" fontId="74" fillId="0" borderId="224" xfId="0" applyNumberFormat="1" applyFont="1" applyFill="1" applyBorder="1" applyAlignment="1">
      <alignment horizontal="center"/>
    </xf>
    <xf numFmtId="166" fontId="72" fillId="36" borderId="227" xfId="0" applyNumberFormat="1" applyFont="1" applyFill="1" applyBorder="1"/>
    <xf numFmtId="166" fontId="72" fillId="36" borderId="221" xfId="0" applyNumberFormat="1" applyFont="1" applyFill="1" applyBorder="1"/>
    <xf numFmtId="0" fontId="72" fillId="0" borderId="221" xfId="0" applyFont="1" applyFill="1" applyBorder="1"/>
    <xf numFmtId="171" fontId="72" fillId="32" borderId="205" xfId="182" applyNumberFormat="1" applyFont="1" applyFill="1" applyBorder="1"/>
    <xf numFmtId="166" fontId="72" fillId="36" borderId="222" xfId="0" applyNumberFormat="1" applyFont="1" applyFill="1" applyBorder="1"/>
    <xf numFmtId="169" fontId="78" fillId="32" borderId="222" xfId="17654" applyNumberFormat="1" applyFont="1" applyFill="1" applyBorder="1" applyAlignment="1"/>
    <xf numFmtId="166" fontId="72" fillId="32" borderId="222" xfId="182" applyNumberFormat="1" applyFont="1" applyFill="1" applyBorder="1"/>
    <xf numFmtId="166" fontId="78" fillId="32" borderId="222" xfId="17654" applyNumberFormat="1" applyFont="1" applyFill="1" applyBorder="1" applyAlignment="1"/>
    <xf numFmtId="0" fontId="72" fillId="0" borderId="222" xfId="0" applyFont="1" applyFill="1" applyBorder="1"/>
    <xf numFmtId="0" fontId="72" fillId="0" borderId="224" xfId="0" applyFont="1" applyFill="1" applyBorder="1"/>
    <xf numFmtId="169" fontId="72" fillId="32" borderId="228" xfId="17654" applyNumberFormat="1" applyFont="1" applyFill="1" applyBorder="1"/>
    <xf numFmtId="171" fontId="72" fillId="32" borderId="229" xfId="17654" applyNumberFormat="1" applyFont="1" applyFill="1" applyBorder="1"/>
    <xf numFmtId="166" fontId="72" fillId="36" borderId="230" xfId="0" applyNumberFormat="1" applyFont="1" applyFill="1" applyBorder="1"/>
    <xf numFmtId="171" fontId="72" fillId="32" borderId="231" xfId="182" applyNumberFormat="1" applyFont="1" applyFill="1" applyBorder="1"/>
    <xf numFmtId="171" fontId="72" fillId="32" borderId="232" xfId="182" applyNumberFormat="1" applyFont="1" applyFill="1" applyBorder="1"/>
    <xf numFmtId="166" fontId="72" fillId="36" borderId="224" xfId="0" applyNumberFormat="1" applyFont="1" applyFill="1" applyBorder="1"/>
    <xf numFmtId="171" fontId="72" fillId="32" borderId="229" xfId="182" applyNumberFormat="1" applyFont="1" applyFill="1" applyBorder="1"/>
    <xf numFmtId="166" fontId="72" fillId="36" borderId="233" xfId="0" applyNumberFormat="1" applyFont="1" applyFill="1" applyBorder="1"/>
    <xf numFmtId="166" fontId="72" fillId="32" borderId="224" xfId="182" applyNumberFormat="1" applyFont="1" applyFill="1" applyBorder="1"/>
    <xf numFmtId="0" fontId="76" fillId="0" borderId="234" xfId="0" quotePrefix="1" applyFont="1" applyBorder="1" applyAlignment="1" applyProtection="1">
      <alignment horizontal="left"/>
    </xf>
    <xf numFmtId="3" fontId="78" fillId="0" borderId="235" xfId="181" quotePrefix="1" applyNumberFormat="1" applyFont="1" applyFill="1" applyBorder="1" applyAlignment="1" applyProtection="1"/>
    <xf numFmtId="10" fontId="78" fillId="0" borderId="236" xfId="3292" quotePrefix="1" applyNumberFormat="1" applyFont="1" applyFill="1" applyBorder="1" applyAlignment="1" applyProtection="1">
      <alignment horizontal="right"/>
    </xf>
    <xf numFmtId="167" fontId="78" fillId="0" borderId="237" xfId="3292" applyNumberFormat="1" applyFont="1" applyBorder="1" applyAlignment="1" applyProtection="1">
      <alignment horizontal="right"/>
    </xf>
    <xf numFmtId="0" fontId="72" fillId="0" borderId="238" xfId="0" applyFont="1" applyBorder="1" applyProtection="1"/>
    <xf numFmtId="3" fontId="78" fillId="0" borderId="239" xfId="181" applyNumberFormat="1" applyFont="1" applyFill="1" applyBorder="1" applyAlignment="1" applyProtection="1"/>
    <xf numFmtId="3" fontId="78" fillId="0" borderId="240" xfId="181" applyNumberFormat="1" applyFont="1" applyBorder="1" applyProtection="1"/>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10" fontId="78" fillId="0" borderId="244" xfId="3292" quotePrefix="1" applyNumberFormat="1" applyFont="1" applyFill="1" applyBorder="1" applyAlignment="1" applyProtection="1">
      <alignment horizontal="right"/>
    </xf>
    <xf numFmtId="167" fontId="78" fillId="0" borderId="245" xfId="3292" applyNumberFormat="1" applyFont="1" applyBorder="1" applyAlignment="1" applyProtection="1">
      <alignment horizontal="right"/>
    </xf>
    <xf numFmtId="3" fontId="78" fillId="0" borderId="246" xfId="181" applyNumberFormat="1" applyFont="1" applyBorder="1" applyAlignment="1" applyProtection="1"/>
    <xf numFmtId="10" fontId="78" fillId="0" borderId="240"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3" fontId="78" fillId="0" borderId="248" xfId="181" applyNumberFormat="1" applyFont="1" applyBorder="1" applyProtection="1"/>
    <xf numFmtId="3" fontId="78" fillId="0" borderId="249" xfId="181" applyNumberFormat="1" applyFont="1" applyBorder="1" applyAlignment="1" applyProtection="1"/>
    <xf numFmtId="3" fontId="78" fillId="0" borderId="249" xfId="181" applyNumberFormat="1" applyFont="1" applyBorder="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0" fontId="76" fillId="0" borderId="234" xfId="0" applyFont="1" applyFill="1" applyBorder="1" applyProtection="1"/>
    <xf numFmtId="0" fontId="76" fillId="0" borderId="251" xfId="0" applyFont="1" applyFill="1" applyBorder="1" applyProtection="1"/>
    <xf numFmtId="37" fontId="78" fillId="0" borderId="252" xfId="0" applyNumberFormat="1" applyFont="1" applyBorder="1" applyAlignment="1" applyProtection="1">
      <alignment horizontal="left"/>
    </xf>
    <xf numFmtId="3" fontId="78" fillId="0" borderId="253" xfId="181" applyNumberFormat="1" applyFont="1" applyBorder="1" applyAlignment="1" applyProtection="1">
      <alignment horizontal="right"/>
    </xf>
    <xf numFmtId="37" fontId="120" fillId="0" borderId="252" xfId="0" applyNumberFormat="1" applyFont="1" applyBorder="1" applyAlignment="1" applyProtection="1">
      <alignment horizontal="right"/>
    </xf>
    <xf numFmtId="37" fontId="78" fillId="0" borderId="252" xfId="0" applyNumberFormat="1" applyFont="1" applyBorder="1" applyProtection="1"/>
    <xf numFmtId="0" fontId="71" fillId="0" borderId="234" xfId="0" applyNumberFormat="1" applyFont="1" applyBorder="1" applyProtection="1"/>
    <xf numFmtId="0" fontId="71" fillId="0" borderId="234" xfId="0" applyFont="1" applyBorder="1" applyProtection="1"/>
    <xf numFmtId="0" fontId="74" fillId="0" borderId="234" xfId="0" applyFont="1" applyBorder="1" applyProtection="1"/>
    <xf numFmtId="37" fontId="78" fillId="0" borderId="234" xfId="0" quotePrefix="1" applyNumberFormat="1" applyFont="1" applyFill="1" applyBorder="1" applyProtection="1"/>
    <xf numFmtId="37" fontId="74" fillId="0" borderId="234" xfId="0" applyNumberFormat="1" applyFont="1" applyFill="1" applyBorder="1" applyProtection="1"/>
    <xf numFmtId="37" fontId="72" fillId="0" borderId="254" xfId="0" applyNumberFormat="1" applyFont="1" applyBorder="1" applyProtection="1"/>
    <xf numFmtId="37" fontId="74" fillId="0" borderId="251" xfId="0" applyNumberFormat="1" applyFont="1" applyBorder="1" applyProtection="1"/>
    <xf numFmtId="37" fontId="74" fillId="0" borderId="234" xfId="0" applyNumberFormat="1" applyFont="1" applyBorder="1" applyProtection="1"/>
    <xf numFmtId="4" fontId="156" fillId="32" borderId="221" xfId="0" applyNumberFormat="1" applyFont="1" applyFill="1" applyBorder="1" applyProtection="1">
      <protection locked="0"/>
    </xf>
    <xf numFmtId="4" fontId="72" fillId="0" borderId="221" xfId="181" applyNumberFormat="1" applyFont="1" applyBorder="1" applyProtection="1"/>
    <xf numFmtId="4" fontId="72" fillId="0" borderId="230" xfId="181"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8" fillId="0" borderId="222" xfId="0" applyNumberFormat="1" applyFont="1" applyBorder="1" applyProtection="1"/>
    <xf numFmtId="4" fontId="149" fillId="0" borderId="222" xfId="0" applyNumberFormat="1" applyFont="1" applyBorder="1" applyProtection="1"/>
    <xf numFmtId="4" fontId="72" fillId="0" borderId="221" xfId="181" applyNumberFormat="1" applyFont="1" applyFill="1" applyBorder="1" applyProtection="1"/>
    <xf numFmtId="4" fontId="149" fillId="0" borderId="224" xfId="0" applyNumberFormat="1" applyFont="1" applyFill="1" applyBorder="1" applyProtection="1"/>
    <xf numFmtId="4" fontId="72" fillId="0" borderId="230" xfId="181" applyNumberFormat="1" applyFont="1" applyFill="1" applyBorder="1" applyProtection="1"/>
    <xf numFmtId="4" fontId="72" fillId="0" borderId="224" xfId="181" applyNumberFormat="1" applyFont="1" applyFill="1" applyBorder="1" applyProtection="1"/>
    <xf numFmtId="3" fontId="156" fillId="32" borderId="255" xfId="0" applyNumberFormat="1" applyFont="1" applyFill="1" applyBorder="1" applyAlignment="1" applyProtection="1">
      <alignment horizontal="right"/>
      <protection locked="0"/>
    </xf>
    <xf numFmtId="0" fontId="72" fillId="0" borderId="255" xfId="0" applyFont="1" applyBorder="1"/>
    <xf numFmtId="0" fontId="72" fillId="0" borderId="255" xfId="0" applyFont="1" applyBorder="1" applyAlignment="1">
      <alignment horizontal="center"/>
    </xf>
    <xf numFmtId="4" fontId="72" fillId="0" borderId="255" xfId="0" applyNumberFormat="1" applyFont="1" applyBorder="1"/>
    <xf numFmtId="3" fontId="72" fillId="0" borderId="255" xfId="0" applyNumberFormat="1" applyFont="1" applyBorder="1"/>
    <xf numFmtId="3" fontId="156" fillId="32" borderId="256"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3" fontId="156" fillId="32" borderId="257" xfId="0" applyNumberFormat="1" applyFont="1" applyFill="1" applyBorder="1" applyAlignment="1" applyProtection="1">
      <alignment horizontal="right"/>
      <protection locked="0"/>
    </xf>
    <xf numFmtId="4" fontId="72" fillId="0" borderId="257" xfId="0" applyNumberFormat="1" applyFont="1" applyBorder="1"/>
    <xf numFmtId="3" fontId="72" fillId="0" borderId="257" xfId="0" applyNumberFormat="1" applyFont="1" applyBorder="1"/>
    <xf numFmtId="0" fontId="72" fillId="0" borderId="221" xfId="0" applyFont="1" applyBorder="1"/>
    <xf numFmtId="0" fontId="72" fillId="0" borderId="221" xfId="0" applyFont="1" applyBorder="1" applyAlignment="1">
      <alignment horizontal="center"/>
    </xf>
    <xf numFmtId="4" fontId="72" fillId="0" borderId="221" xfId="0" applyNumberFormat="1" applyFont="1" applyBorder="1"/>
    <xf numFmtId="168" fontId="72" fillId="0" borderId="221" xfId="0" applyNumberFormat="1" applyFont="1" applyBorder="1"/>
    <xf numFmtId="0" fontId="72" fillId="0" borderId="222" xfId="0" applyFont="1" applyBorder="1"/>
    <xf numFmtId="0" fontId="72" fillId="0" borderId="222" xfId="0" applyFont="1" applyBorder="1" applyAlignment="1">
      <alignment horizontal="center"/>
    </xf>
    <xf numFmtId="4" fontId="72" fillId="0" borderId="222" xfId="0" applyNumberFormat="1" applyFont="1" applyBorder="1"/>
    <xf numFmtId="3" fontId="72" fillId="0" borderId="222" xfId="0" applyNumberFormat="1" applyFont="1" applyBorder="1"/>
    <xf numFmtId="0" fontId="74" fillId="0" borderId="224" xfId="0" applyFont="1" applyFill="1" applyBorder="1"/>
    <xf numFmtId="3" fontId="74" fillId="0" borderId="224" xfId="0" applyNumberFormat="1" applyFont="1" applyFill="1" applyBorder="1"/>
    <xf numFmtId="4" fontId="74" fillId="0" borderId="224" xfId="0" applyNumberFormat="1" applyFont="1" applyFill="1" applyBorder="1"/>
    <xf numFmtId="168" fontId="74" fillId="0" borderId="224" xfId="0" applyNumberFormat="1" applyFont="1" applyFill="1" applyBorder="1"/>
    <xf numFmtId="3" fontId="156" fillId="32" borderId="222" xfId="0" applyNumberFormat="1" applyFont="1" applyFill="1" applyBorder="1" applyAlignment="1" applyProtection="1">
      <alignment horizontal="right"/>
      <protection locked="0"/>
    </xf>
    <xf numFmtId="0" fontId="72" fillId="0" borderId="224" xfId="0" applyFont="1" applyBorder="1"/>
    <xf numFmtId="0" fontId="72" fillId="0" borderId="224" xfId="0" applyFont="1" applyBorder="1" applyAlignment="1">
      <alignment horizontal="center"/>
    </xf>
    <xf numFmtId="3" fontId="156" fillId="32" borderId="224" xfId="0" applyNumberFormat="1" applyFont="1" applyFill="1" applyBorder="1" applyAlignment="1" applyProtection="1">
      <alignment horizontal="right"/>
      <protection locked="0"/>
    </xf>
    <xf numFmtId="4" fontId="72" fillId="0" borderId="224" xfId="0" applyNumberFormat="1" applyFont="1" applyBorder="1"/>
    <xf numFmtId="3" fontId="72" fillId="0" borderId="224" xfId="0" applyNumberFormat="1" applyFont="1" applyBorder="1"/>
    <xf numFmtId="0" fontId="156" fillId="32" borderId="221" xfId="0" applyFont="1" applyFill="1" applyBorder="1" applyProtection="1">
      <protection locked="0"/>
    </xf>
    <xf numFmtId="0" fontId="156" fillId="32" borderId="222" xfId="0" applyFont="1" applyFill="1" applyBorder="1" applyProtection="1">
      <protection locked="0"/>
    </xf>
    <xf numFmtId="0" fontId="100" fillId="0" borderId="222" xfId="0" applyFont="1" applyBorder="1"/>
    <xf numFmtId="0" fontId="100" fillId="0" borderId="222" xfId="0" applyFont="1" applyBorder="1" applyAlignment="1">
      <alignment horizontal="center"/>
    </xf>
    <xf numFmtId="0" fontId="108" fillId="0" borderId="224" xfId="0" applyFont="1" applyBorder="1"/>
    <xf numFmtId="0" fontId="108" fillId="0" borderId="224" xfId="0" applyFont="1" applyFill="1" applyBorder="1"/>
    <xf numFmtId="168" fontId="108" fillId="0" borderId="224" xfId="0" applyNumberFormat="1" applyFont="1" applyFill="1" applyBorder="1"/>
    <xf numFmtId="3" fontId="157" fillId="32" borderId="222" xfId="0" applyNumberFormat="1" applyFont="1" applyFill="1" applyBorder="1" applyProtection="1">
      <protection locked="0"/>
    </xf>
    <xf numFmtId="168" fontId="130" fillId="75" borderId="258" xfId="0" applyNumberFormat="1" applyFont="1" applyFill="1" applyBorder="1" applyAlignment="1" applyProtection="1">
      <alignment horizontal="right"/>
    </xf>
    <xf numFmtId="5" fontId="130" fillId="75" borderId="258" xfId="0" applyNumberFormat="1" applyFont="1" applyFill="1" applyBorder="1" applyAlignment="1" applyProtection="1">
      <alignment horizontal="right"/>
    </xf>
    <xf numFmtId="5" fontId="130" fillId="30" borderId="259" xfId="0" quotePrefix="1" applyNumberFormat="1" applyFont="1" applyFill="1" applyBorder="1" applyAlignment="1" applyProtection="1">
      <alignment horizontal="right"/>
    </xf>
    <xf numFmtId="37" fontId="100" fillId="24" borderId="260" xfId="0" applyNumberFormat="1" applyFont="1" applyFill="1" applyBorder="1" applyAlignment="1" applyProtection="1">
      <alignment horizontal="right"/>
    </xf>
    <xf numFmtId="5" fontId="130" fillId="75" borderId="259" xfId="0" applyNumberFormat="1" applyFont="1" applyFill="1" applyBorder="1" applyAlignment="1" applyProtection="1">
      <alignment horizontal="right"/>
    </xf>
    <xf numFmtId="37" fontId="100" fillId="30" borderId="205" xfId="0" applyNumberFormat="1" applyFont="1" applyFill="1" applyBorder="1" applyAlignment="1" applyProtection="1">
      <alignment horizontal="right"/>
    </xf>
    <xf numFmtId="37" fontId="100" fillId="0" borderId="261" xfId="0" applyNumberFormat="1" applyFont="1" applyBorder="1" applyProtection="1"/>
    <xf numFmtId="37" fontId="100" fillId="24" borderId="205" xfId="0"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46" xfId="0" applyNumberFormat="1" applyFont="1" applyFill="1" applyBorder="1" applyAlignment="1" applyProtection="1">
      <alignment horizontal="right"/>
    </xf>
    <xf numFmtId="37" fontId="129" fillId="75" borderId="205" xfId="0" applyNumberFormat="1" applyFont="1" applyFill="1" applyBorder="1" applyAlignment="1" applyProtection="1">
      <alignment horizontal="right"/>
    </xf>
    <xf numFmtId="37" fontId="129" fillId="24" borderId="262" xfId="0" applyNumberFormat="1" applyFont="1" applyFill="1" applyBorder="1" applyAlignment="1" applyProtection="1">
      <alignment horizontal="right"/>
    </xf>
    <xf numFmtId="37" fontId="129" fillId="75" borderId="266" xfId="0" applyNumberFormat="1" applyFont="1" applyFill="1" applyBorder="1" applyAlignment="1" applyProtection="1">
      <alignment horizontal="right"/>
    </xf>
    <xf numFmtId="37" fontId="108" fillId="0" borderId="267" xfId="0" applyNumberFormat="1" applyFont="1" applyBorder="1" applyProtection="1"/>
    <xf numFmtId="37" fontId="100" fillId="0" borderId="234" xfId="0" applyNumberFormat="1" applyFont="1" applyBorder="1" applyProtection="1"/>
    <xf numFmtId="37" fontId="100" fillId="0" borderId="246" xfId="0" applyNumberFormat="1" applyFont="1" applyBorder="1" applyAlignment="1" applyProtection="1">
      <alignment horizontal="right"/>
    </xf>
    <xf numFmtId="37" fontId="108" fillId="0" borderId="261" xfId="0" applyNumberFormat="1" applyFont="1" applyBorder="1" applyProtection="1"/>
    <xf numFmtId="5" fontId="157" fillId="33" borderId="246" xfId="0" applyNumberFormat="1" applyFont="1" applyFill="1" applyBorder="1" applyAlignment="1" applyProtection="1">
      <alignment horizontal="right"/>
      <protection locked="0"/>
    </xf>
    <xf numFmtId="37" fontId="129" fillId="75" borderId="218" xfId="0" applyNumberFormat="1" applyFont="1" applyFill="1" applyBorder="1" applyProtection="1"/>
    <xf numFmtId="37" fontId="129" fillId="24" borderId="262" xfId="0" applyNumberFormat="1" applyFont="1" applyFill="1" applyBorder="1" applyProtection="1"/>
    <xf numFmtId="37" fontId="108" fillId="30" borderId="268" xfId="0" applyNumberFormat="1" applyFont="1" applyFill="1" applyBorder="1" applyProtection="1"/>
    <xf numFmtId="37" fontId="129" fillId="75" borderId="266" xfId="0" applyNumberFormat="1" applyFont="1" applyFill="1" applyBorder="1" applyProtection="1"/>
    <xf numFmtId="37" fontId="100" fillId="75" borderId="266" xfId="0" applyNumberFormat="1" applyFont="1" applyFill="1" applyBorder="1" applyProtection="1"/>
    <xf numFmtId="37" fontId="100" fillId="0" borderId="262" xfId="0" applyNumberFormat="1" applyFont="1" applyFill="1" applyBorder="1" applyProtection="1"/>
    <xf numFmtId="0" fontId="100" fillId="0" borderId="215" xfId="0" applyFont="1" applyBorder="1" applyProtection="1"/>
    <xf numFmtId="0" fontId="100" fillId="0" borderId="216" xfId="0" applyFont="1" applyBorder="1" applyProtection="1"/>
    <xf numFmtId="0" fontId="100" fillId="0" borderId="212" xfId="0" applyFont="1" applyBorder="1" applyAlignment="1" applyProtection="1">
      <alignment horizontal="right"/>
    </xf>
    <xf numFmtId="37" fontId="100" fillId="24" borderId="214" xfId="0" applyNumberFormat="1" applyFont="1" applyFill="1" applyBorder="1" applyProtection="1"/>
    <xf numFmtId="37" fontId="100" fillId="75" borderId="272" xfId="0" applyNumberFormat="1" applyFont="1" applyFill="1" applyBorder="1" applyProtection="1"/>
    <xf numFmtId="37" fontId="100" fillId="24" borderId="262" xfId="0" applyNumberFormat="1" applyFont="1" applyFill="1" applyBorder="1" applyProtection="1"/>
    <xf numFmtId="5" fontId="108" fillId="75" borderId="214" xfId="0" applyNumberFormat="1" applyFont="1" applyFill="1" applyBorder="1" applyProtection="1"/>
    <xf numFmtId="0" fontId="106" fillId="0" borderId="273" xfId="0" applyFont="1" applyBorder="1"/>
    <xf numFmtId="0" fontId="106" fillId="0" borderId="274" xfId="0" applyFont="1" applyBorder="1"/>
    <xf numFmtId="0" fontId="106" fillId="0" borderId="274" xfId="0" applyFont="1" applyBorder="1" applyAlignment="1">
      <alignment horizontal="center"/>
    </xf>
    <xf numFmtId="3" fontId="158" fillId="32" borderId="275" xfId="0" applyNumberFormat="1" applyFont="1" applyFill="1" applyBorder="1" applyProtection="1">
      <protection locked="0"/>
    </xf>
    <xf numFmtId="3" fontId="106" fillId="0" borderId="275" xfId="0" applyNumberFormat="1" applyFont="1" applyBorder="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5" xfId="0" applyFont="1" applyBorder="1" applyAlignment="1">
      <alignment horizontal="center"/>
    </xf>
    <xf numFmtId="0" fontId="106" fillId="0" borderId="278" xfId="0" applyFont="1" applyBorder="1" applyAlignment="1">
      <alignment horizontal="center"/>
    </xf>
    <xf numFmtId="0" fontId="106" fillId="76" borderId="275" xfId="0" applyFont="1" applyFill="1" applyBorder="1"/>
    <xf numFmtId="3" fontId="159" fillId="30" borderId="275" xfId="0" applyNumberFormat="1" applyFont="1" applyFill="1" applyBorder="1" applyProtection="1"/>
    <xf numFmtId="0" fontId="106" fillId="0" borderId="279" xfId="0" applyFont="1" applyBorder="1"/>
    <xf numFmtId="0" fontId="106" fillId="76" borderId="278" xfId="0" applyFont="1" applyFill="1" applyBorder="1"/>
    <xf numFmtId="0" fontId="145" fillId="0" borderId="266" xfId="663" applyFont="1" applyFill="1" applyBorder="1" applyAlignment="1" applyProtection="1">
      <alignment horizontal="center" wrapText="1"/>
    </xf>
    <xf numFmtId="0" fontId="145" fillId="0" borderId="280" xfId="663" applyFont="1" applyFill="1" applyBorder="1" applyAlignment="1" applyProtection="1">
      <alignment horizontal="center" wrapText="1"/>
    </xf>
    <xf numFmtId="9" fontId="126" fillId="0" borderId="266" xfId="663" applyNumberFormat="1" applyFont="1" applyFill="1" applyBorder="1" applyAlignment="1">
      <alignment horizontal="center" wrapText="1"/>
    </xf>
    <xf numFmtId="9" fontId="145" fillId="0" borderId="280" xfId="663" applyNumberFormat="1" applyFont="1" applyFill="1" applyBorder="1" applyAlignment="1" applyProtection="1">
      <alignment horizontal="center" wrapText="1"/>
    </xf>
    <xf numFmtId="0" fontId="124" fillId="0" borderId="282" xfId="663" applyFont="1" applyFill="1" applyBorder="1" applyProtection="1"/>
    <xf numFmtId="44" fontId="109" fillId="0" borderId="281" xfId="378" applyFont="1" applyFill="1" applyBorder="1" applyProtection="1"/>
    <xf numFmtId="44" fontId="109" fillId="0" borderId="283" xfId="378" applyFont="1" applyFill="1" applyBorder="1" applyProtection="1"/>
    <xf numFmtId="0" fontId="109" fillId="0" borderId="282" xfId="663" applyFont="1" applyFill="1" applyBorder="1" applyProtection="1"/>
    <xf numFmtId="44" fontId="109" fillId="0" borderId="266" xfId="378" applyFont="1" applyFill="1" applyBorder="1" applyProtection="1"/>
    <xf numFmtId="44" fontId="109" fillId="0" borderId="280" xfId="378" applyFont="1" applyFill="1" applyBorder="1" applyProtection="1"/>
    <xf numFmtId="0" fontId="109" fillId="0" borderId="282" xfId="663" applyFont="1" applyFill="1" applyBorder="1" applyAlignment="1" applyProtection="1">
      <alignment horizontal="left"/>
    </xf>
    <xf numFmtId="0" fontId="109" fillId="0" borderId="284" xfId="663" applyFont="1" applyFill="1" applyBorder="1" applyProtection="1"/>
    <xf numFmtId="0" fontId="124" fillId="0" borderId="266" xfId="663" applyFont="1" applyFill="1" applyBorder="1"/>
    <xf numFmtId="0" fontId="124" fillId="0" borderId="280" xfId="663" applyFont="1" applyFill="1" applyBorder="1"/>
    <xf numFmtId="0" fontId="145" fillId="0" borderId="281"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0" fontId="124" fillId="0" borderId="284" xfId="663" applyFont="1" applyFill="1" applyBorder="1" applyProtection="1"/>
    <xf numFmtId="0" fontId="109" fillId="0" borderId="284" xfId="663" applyFont="1" applyFill="1" applyBorder="1" applyAlignment="1" applyProtection="1">
      <alignment horizontal="left"/>
    </xf>
    <xf numFmtId="0" fontId="109" fillId="0" borderId="285" xfId="663" applyFont="1" applyFill="1" applyBorder="1" applyProtection="1"/>
    <xf numFmtId="44" fontId="109" fillId="0" borderId="286" xfId="378" applyFont="1" applyFill="1" applyBorder="1" applyProtection="1"/>
    <xf numFmtId="44" fontId="109" fillId="0" borderId="287" xfId="378" applyFont="1" applyFill="1" applyBorder="1" applyProtection="1"/>
    <xf numFmtId="0" fontId="145" fillId="0" borderId="288" xfId="663" applyFont="1" applyFill="1" applyBorder="1" applyAlignment="1" applyProtection="1">
      <alignment horizontal="center" wrapText="1"/>
    </xf>
    <xf numFmtId="9" fontId="145" fillId="0" borderId="288" xfId="663" applyNumberFormat="1" applyFont="1" applyFill="1" applyBorder="1" applyAlignment="1" applyProtection="1">
      <alignment horizontal="center" wrapText="1"/>
    </xf>
    <xf numFmtId="0" fontId="124" fillId="0" borderId="289" xfId="663" applyFont="1" applyFill="1" applyBorder="1" applyProtection="1"/>
    <xf numFmtId="44" fontId="109" fillId="0" borderId="288" xfId="378" applyFont="1" applyFill="1" applyBorder="1" applyProtection="1"/>
    <xf numFmtId="0" fontId="109" fillId="0" borderId="289" xfId="663" applyFont="1" applyFill="1" applyBorder="1" applyProtection="1"/>
    <xf numFmtId="0" fontId="109" fillId="0" borderId="289" xfId="663" applyFont="1" applyFill="1" applyBorder="1" applyAlignment="1" applyProtection="1">
      <alignment horizontal="left"/>
    </xf>
    <xf numFmtId="0" fontId="124" fillId="0" borderId="288" xfId="663" applyFont="1" applyFill="1" applyBorder="1"/>
    <xf numFmtId="44" fontId="109" fillId="0" borderId="266" xfId="378" applyFont="1" applyFill="1" applyBorder="1" applyAlignment="1" applyProtection="1">
      <alignment horizontal="right"/>
    </xf>
    <xf numFmtId="44" fontId="109" fillId="0" borderId="288" xfId="378" applyFont="1" applyFill="1" applyBorder="1" applyAlignment="1" applyProtection="1">
      <alignment horizontal="right"/>
    </xf>
    <xf numFmtId="0" fontId="109" fillId="0" borderId="290" xfId="663" applyFont="1" applyFill="1" applyBorder="1" applyProtection="1"/>
    <xf numFmtId="44" fontId="109" fillId="0" borderId="291" xfId="378" applyFont="1" applyFill="1" applyBorder="1" applyAlignment="1" applyProtection="1">
      <alignment horizontal="right"/>
    </xf>
    <xf numFmtId="44" fontId="109" fillId="0" borderId="292" xfId="378" applyFont="1" applyFill="1" applyBorder="1" applyAlignment="1" applyProtection="1">
      <alignment horizontal="right"/>
    </xf>
    <xf numFmtId="44" fontId="109" fillId="0" borderId="266" xfId="378" quotePrefix="1" applyFont="1" applyFill="1" applyBorder="1" applyProtection="1"/>
    <xf numFmtId="44" fontId="109" fillId="0" borderId="291" xfId="378" applyFont="1" applyFill="1" applyBorder="1" applyProtection="1"/>
    <xf numFmtId="44" fontId="109" fillId="0" borderId="291" xfId="378" quotePrefix="1" applyFont="1" applyFill="1" applyBorder="1" applyProtection="1"/>
    <xf numFmtId="44" fontId="109" fillId="0" borderId="292" xfId="378" applyFont="1" applyFill="1" applyBorder="1" applyProtection="1"/>
    <xf numFmtId="44" fontId="109" fillId="0" borderId="288" xfId="378" quotePrefix="1" applyFont="1" applyFill="1" applyBorder="1" applyProtection="1"/>
    <xf numFmtId="0" fontId="78" fillId="27" borderId="293" xfId="663" applyFont="1" applyFill="1" applyBorder="1" applyAlignment="1" applyProtection="1">
      <alignment wrapText="1"/>
    </xf>
    <xf numFmtId="9" fontId="72" fillId="27" borderId="294" xfId="663" applyNumberFormat="1" applyFont="1" applyFill="1" applyBorder="1" applyAlignment="1" applyProtection="1">
      <alignment horizontal="center"/>
    </xf>
    <xf numFmtId="0" fontId="72" fillId="27" borderId="295" xfId="663" applyFont="1" applyFill="1" applyBorder="1" applyProtection="1"/>
    <xf numFmtId="0" fontId="78" fillId="28" borderId="293" xfId="663" applyFont="1" applyFill="1" applyBorder="1" applyAlignment="1" applyProtection="1">
      <alignment wrapText="1"/>
    </xf>
    <xf numFmtId="9" fontId="72" fillId="28" borderId="294" xfId="663" applyNumberFormat="1" applyFont="1" applyFill="1" applyBorder="1" applyAlignment="1" applyProtection="1">
      <alignment horizontal="center"/>
    </xf>
    <xf numFmtId="0" fontId="72" fillId="28" borderId="295" xfId="663" applyFont="1" applyFill="1" applyBorder="1" applyProtection="1"/>
    <xf numFmtId="0" fontId="78" fillId="27" borderId="293" xfId="663" applyFont="1" applyFill="1" applyBorder="1" applyProtection="1"/>
    <xf numFmtId="0" fontId="72" fillId="27" borderId="295" xfId="663" applyFont="1" applyFill="1" applyBorder="1" applyAlignment="1" applyProtection="1">
      <alignment wrapText="1"/>
    </xf>
    <xf numFmtId="0" fontId="72" fillId="28" borderId="295" xfId="663" applyFont="1" applyFill="1" applyBorder="1" applyAlignment="1" applyProtection="1">
      <alignment horizontal="left"/>
    </xf>
    <xf numFmtId="0" fontId="78" fillId="28" borderId="298" xfId="663" applyFont="1" applyFill="1" applyBorder="1" applyAlignment="1" applyProtection="1">
      <alignment wrapText="1"/>
    </xf>
    <xf numFmtId="9" fontId="72" fillId="28" borderId="299" xfId="663" applyNumberFormat="1" applyFont="1" applyFill="1" applyBorder="1" applyAlignment="1" applyProtection="1">
      <alignment horizontal="center"/>
    </xf>
    <xf numFmtId="0" fontId="72" fillId="28" borderId="300"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0" xfId="0" applyFont="1" applyFill="1" applyBorder="1" applyAlignment="1">
      <alignment horizontal="left"/>
    </xf>
    <xf numFmtId="0" fontId="74" fillId="30" borderId="161" xfId="0" applyFont="1" applyFill="1" applyBorder="1" applyAlignment="1">
      <alignment horizontal="left"/>
    </xf>
    <xf numFmtId="0" fontId="74" fillId="30" borderId="162"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5"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1"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3" xfId="0" applyNumberFormat="1" applyFont="1" applyFill="1" applyBorder="1" applyAlignment="1" applyProtection="1">
      <alignment horizontal="left"/>
    </xf>
    <xf numFmtId="37" fontId="108" fillId="30" borderId="191" xfId="0" applyNumberFormat="1" applyFont="1" applyFill="1" applyBorder="1" applyAlignment="1" applyProtection="1">
      <alignment horizontal="left"/>
    </xf>
    <xf numFmtId="37" fontId="108" fillId="30" borderId="205" xfId="0" applyNumberFormat="1" applyFont="1" applyFill="1" applyBorder="1" applyAlignment="1" applyProtection="1">
      <alignment horizontal="left"/>
    </xf>
    <xf numFmtId="37" fontId="108" fillId="30" borderId="263" xfId="0" applyNumberFormat="1" applyFont="1" applyFill="1" applyBorder="1" applyAlignment="1" applyProtection="1">
      <alignment horizontal="left"/>
    </xf>
    <xf numFmtId="37" fontId="108" fillId="30" borderId="264"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174" xfId="0" applyNumberFormat="1" applyFont="1" applyFill="1" applyBorder="1" applyAlignment="1" applyProtection="1">
      <alignment horizontal="left"/>
    </xf>
    <xf numFmtId="37" fontId="108" fillId="30" borderId="173"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270"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1"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07" xfId="0" applyFont="1" applyBorder="1" applyAlignment="1">
      <alignment wrapText="1"/>
    </xf>
    <xf numFmtId="0" fontId="126" fillId="0" borderId="182" xfId="0" applyFont="1" applyBorder="1" applyAlignment="1">
      <alignment horizontal="center"/>
    </xf>
    <xf numFmtId="0" fontId="126" fillId="0" borderId="281" xfId="0" applyFont="1" applyBorder="1" applyAlignment="1">
      <alignment horizontal="center"/>
    </xf>
    <xf numFmtId="0" fontId="125" fillId="0" borderId="0" xfId="0" applyFont="1" applyAlignment="1"/>
    <xf numFmtId="0" fontId="126" fillId="0" borderId="151" xfId="0" applyFont="1" applyBorder="1" applyAlignment="1">
      <alignment wrapText="1"/>
    </xf>
    <xf numFmtId="0" fontId="126" fillId="0" borderId="15" xfId="0" applyFont="1" applyBorder="1" applyAlignment="1">
      <alignment wrapText="1"/>
    </xf>
    <xf numFmtId="0" fontId="126" fillId="0" borderId="211" xfId="0" applyFont="1" applyBorder="1" applyAlignment="1">
      <alignment wrapText="1"/>
    </xf>
    <xf numFmtId="0" fontId="126" fillId="0" borderId="193" xfId="0" applyFont="1" applyBorder="1" applyAlignment="1">
      <alignment wrapText="1"/>
    </xf>
    <xf numFmtId="0" fontId="124" fillId="0" borderId="0" xfId="663" applyFont="1" applyAlignment="1">
      <alignment horizontal="left" wrapText="1"/>
    </xf>
    <xf numFmtId="0" fontId="125" fillId="0" borderId="194" xfId="0" applyFont="1" applyBorder="1" applyAlignment="1">
      <alignment wrapText="1"/>
    </xf>
    <xf numFmtId="0" fontId="125" fillId="0" borderId="61" xfId="0" applyFont="1" applyBorder="1" applyAlignment="1">
      <alignment wrapText="1"/>
    </xf>
    <xf numFmtId="0" fontId="125" fillId="0" borderId="207"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2" xfId="0" applyFont="1" applyBorder="1" applyAlignment="1">
      <alignment wrapText="1"/>
    </xf>
    <xf numFmtId="0" fontId="126" fillId="0" borderId="196"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07"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4" xfId="181" applyNumberFormat="1" applyFont="1" applyFill="1" applyBorder="1" applyAlignment="1">
      <alignment horizontal="right"/>
    </xf>
    <xf numFmtId="5" fontId="168" fillId="32" borderId="218" xfId="49334" applyNumberFormat="1" applyFont="1" applyFill="1" applyBorder="1" applyAlignment="1">
      <alignment horizontal="right"/>
    </xf>
    <xf numFmtId="165" fontId="72" fillId="32" borderId="289" xfId="181" applyNumberFormat="1" applyFont="1" applyFill="1" applyBorder="1" applyAlignment="1">
      <alignment horizontal="right"/>
    </xf>
    <xf numFmtId="165" fontId="168" fillId="32" borderId="219" xfId="49334" applyNumberFormat="1" applyFont="1" applyFill="1" applyBorder="1" applyAlignment="1">
      <alignment horizontal="right"/>
    </xf>
    <xf numFmtId="0" fontId="72" fillId="32" borderId="303" xfId="495" applyFont="1" applyFill="1" applyBorder="1" applyAlignment="1">
      <alignment horizontal="center" wrapText="1"/>
    </xf>
    <xf numFmtId="3" fontId="72" fillId="32" borderId="303" xfId="181" applyNumberFormat="1" applyFont="1" applyFill="1" applyBorder="1"/>
    <xf numFmtId="3" fontId="72" fillId="36" borderId="302" xfId="0" applyNumberFormat="1" applyFont="1" applyFill="1" applyBorder="1" applyAlignment="1" applyProtection="1">
      <alignment horizontal="right"/>
    </xf>
    <xf numFmtId="0" fontId="72" fillId="79" borderId="44" xfId="0" applyFont="1" applyFill="1" applyBorder="1"/>
    <xf numFmtId="0" fontId="72" fillId="79" borderId="220" xfId="0" applyFont="1" applyFill="1" applyBorder="1"/>
    <xf numFmtId="0" fontId="72" fillId="79" borderId="223" xfId="0" applyFont="1" applyFill="1" applyBorder="1"/>
    <xf numFmtId="0" fontId="72" fillId="32" borderId="44" xfId="0" applyFont="1" applyFill="1" applyBorder="1" applyAlignment="1">
      <alignment horizontal="center" wrapText="1"/>
    </xf>
    <xf numFmtId="0" fontId="72" fillId="79" borderId="191" xfId="0" applyFont="1" applyFill="1" applyBorder="1"/>
    <xf numFmtId="0" fontId="72" fillId="79" borderId="0" xfId="0" applyFont="1" applyFill="1" applyBorder="1"/>
    <xf numFmtId="3" fontId="72" fillId="36" borderId="303"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8" xfId="0" applyNumberFormat="1" applyFont="1" applyFill="1" applyBorder="1"/>
    <xf numFmtId="166" fontId="72" fillId="36" borderId="191" xfId="0" applyNumberFormat="1" applyFont="1" applyFill="1" applyBorder="1"/>
    <xf numFmtId="166" fontId="72" fillId="36" borderId="187" xfId="0" applyNumberFormat="1" applyFont="1" applyFill="1" applyBorder="1"/>
    <xf numFmtId="166" fontId="105" fillId="32" borderId="21" xfId="0" applyNumberFormat="1" applyFont="1" applyFill="1" applyBorder="1"/>
    <xf numFmtId="169" fontId="175" fillId="32" borderId="266" xfId="0" applyNumberFormat="1" applyFont="1" applyFill="1" applyBorder="1"/>
    <xf numFmtId="169" fontId="175" fillId="32" borderId="281" xfId="0" applyNumberFormat="1" applyFont="1" applyFill="1" applyBorder="1"/>
    <xf numFmtId="169" fontId="175" fillId="32" borderId="29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3" xfId="0" applyFont="1" applyFill="1" applyBorder="1" applyAlignment="1">
      <alignment horizontal="center"/>
    </xf>
    <xf numFmtId="0" fontId="74" fillId="35" borderId="61" xfId="0" applyFont="1" applyFill="1" applyBorder="1" applyAlignment="1">
      <alignment horizontal="center"/>
    </xf>
    <xf numFmtId="0" fontId="74" fillId="35" borderId="149" xfId="0" applyFont="1" applyFill="1" applyBorder="1" applyAlignment="1">
      <alignment horizontal="center" wrapText="1"/>
    </xf>
    <xf numFmtId="0" fontId="74" fillId="35" borderId="194" xfId="0" applyFont="1" applyFill="1" applyBorder="1" applyAlignment="1">
      <alignment horizontal="center"/>
    </xf>
    <xf numFmtId="0" fontId="74" fillId="35" borderId="146"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7"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1" xfId="0" applyNumberFormat="1" applyFont="1" applyFill="1" applyBorder="1" applyProtection="1">
      <protection locked="0"/>
    </xf>
    <xf numFmtId="4" fontId="161" fillId="32" borderId="302" xfId="0" applyNumberFormat="1" applyFont="1" applyFill="1" applyBorder="1" applyProtection="1">
      <protection locked="0"/>
    </xf>
    <xf numFmtId="4" fontId="161" fillId="32" borderId="303" xfId="0" applyNumberFormat="1" applyFont="1" applyFill="1" applyBorder="1" applyProtection="1">
      <protection locked="0"/>
    </xf>
    <xf numFmtId="0" fontId="176" fillId="72" borderId="23" xfId="0" applyFont="1" applyFill="1" applyBorder="1" applyProtection="1"/>
    <xf numFmtId="4" fontId="161" fillId="32" borderId="193"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2" xfId="0" applyNumberFormat="1" applyFont="1" applyFill="1" applyBorder="1" applyAlignment="1" applyProtection="1">
      <alignment horizontal="right"/>
      <protection locked="0"/>
    </xf>
    <xf numFmtId="168" fontId="156" fillId="32" borderId="221"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3" xfId="0" applyFont="1" applyFill="1" applyBorder="1" applyAlignment="1" applyProtection="1">
      <alignment horizontal="center"/>
      <protection locked="0"/>
    </xf>
    <xf numFmtId="0" fontId="162" fillId="32" borderId="274"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193" xfId="0" applyFont="1" applyFill="1" applyBorder="1" applyAlignment="1" applyProtection="1">
      <alignment horizontal="center"/>
      <protection locked="0"/>
    </xf>
    <xf numFmtId="0" fontId="162" fillId="32" borderId="183"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37" fontId="177" fillId="0" borderId="0" xfId="0" applyNumberFormat="1" applyFont="1" applyProtection="1">
      <protection locked="0"/>
    </xf>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3" xfId="0" applyFont="1" applyBorder="1" applyAlignment="1"/>
    <xf numFmtId="0" fontId="106" fillId="0" borderId="191" xfId="0" applyFont="1" applyBorder="1" applyAlignment="1"/>
    <xf numFmtId="0" fontId="126" fillId="0" borderId="203" xfId="0" applyFont="1" applyBorder="1" applyAlignment="1">
      <alignment horizontal="centerContinuous" wrapText="1"/>
    </xf>
    <xf numFmtId="0" fontId="126" fillId="0" borderId="185" xfId="0" applyFont="1" applyBorder="1" applyAlignment="1">
      <alignment horizontal="centerContinuous" wrapText="1"/>
    </xf>
    <xf numFmtId="0" fontId="126" fillId="0" borderId="204"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8" xfId="0" applyFont="1" applyBorder="1" applyAlignment="1">
      <alignment horizontal="centerContinuous" wrapText="1"/>
    </xf>
    <xf numFmtId="0" fontId="126" fillId="0" borderId="60" xfId="0" applyFont="1" applyBorder="1" applyAlignment="1">
      <alignment horizontal="centerContinuous" wrapText="1"/>
    </xf>
    <xf numFmtId="0" fontId="126" fillId="0" borderId="198"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6" xfId="663" applyFont="1" applyBorder="1" applyAlignment="1" applyProtection="1">
      <alignment horizontal="centerContinuous"/>
    </xf>
    <xf numFmtId="0" fontId="75" fillId="0" borderId="270" xfId="663" applyFont="1" applyBorder="1" applyAlignment="1" applyProtection="1">
      <alignment horizontal="centerContinuous"/>
    </xf>
    <xf numFmtId="0" fontId="75" fillId="0" borderId="297"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0" xfId="663" applyNumberFormat="1" applyFont="1" applyBorder="1" applyAlignment="1" applyProtection="1">
      <alignment horizontal="centerContinuous"/>
    </xf>
    <xf numFmtId="0" fontId="72" fillId="0" borderId="297"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2" xfId="0" applyFont="1" applyBorder="1" applyAlignment="1">
      <alignment horizontal="center"/>
    </xf>
    <xf numFmtId="3" fontId="158" fillId="32" borderId="302" xfId="0" applyNumberFormat="1" applyFont="1" applyFill="1" applyBorder="1" applyProtection="1">
      <protection locked="0"/>
    </xf>
    <xf numFmtId="3" fontId="106" fillId="0" borderId="302" xfId="0" applyNumberFormat="1" applyFont="1" applyBorder="1"/>
    <xf numFmtId="37" fontId="106" fillId="0" borderId="170" xfId="0" applyNumberFormat="1" applyFont="1" applyFill="1" applyBorder="1" applyProtection="1"/>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5" xfId="0" applyFont="1" applyFill="1" applyBorder="1" applyAlignment="1">
      <alignment horizontal="center"/>
    </xf>
    <xf numFmtId="0" fontId="104" fillId="0" borderId="87" xfId="0" applyFont="1" applyFill="1" applyBorder="1" applyAlignment="1">
      <alignment horizontal="center"/>
    </xf>
    <xf numFmtId="0" fontId="104" fillId="0" borderId="86"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3" fillId="0" borderId="0" xfId="0" applyFont="1" applyFill="1" applyAlignment="1">
      <alignment horizontal="left"/>
    </xf>
    <xf numFmtId="0" fontId="103" fillId="0" borderId="85" xfId="0" applyFont="1" applyFill="1" applyBorder="1" applyAlignment="1">
      <alignment horizontal="center"/>
    </xf>
    <xf numFmtId="0" fontId="103" fillId="0" borderId="87" xfId="0" applyFont="1" applyFill="1" applyBorder="1" applyAlignment="1">
      <alignment horizontal="center"/>
    </xf>
    <xf numFmtId="0" fontId="103" fillId="0" borderId="86" xfId="0" applyFont="1" applyFill="1" applyBorder="1" applyAlignment="1">
      <alignment horizontal="center"/>
    </xf>
    <xf numFmtId="0" fontId="108" fillId="0" borderId="0" xfId="0" applyFont="1" applyFill="1" applyAlignment="1">
      <alignment horizontal="left"/>
    </xf>
    <xf numFmtId="0" fontId="103" fillId="0" borderId="87" xfId="0" applyFont="1" applyBorder="1" applyAlignment="1">
      <alignment horizontal="center"/>
    </xf>
    <xf numFmtId="0" fontId="103" fillId="0" borderId="85" xfId="0" applyFont="1" applyBorder="1" applyAlignment="1">
      <alignment horizontal="center" wrapText="1"/>
    </xf>
    <xf numFmtId="0" fontId="103" fillId="0" borderId="87" xfId="0" applyFont="1" applyBorder="1" applyAlignment="1">
      <alignment horizontal="center" wrapText="1"/>
    </xf>
    <xf numFmtId="0" fontId="103" fillId="0" borderId="86"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5" name="Object 3" hidden="1">
              <a:extLst>
                <a:ext uri="{63B3BB69-23CF-44E3-9099-C40C66FF867C}">
                  <a14:compatExt spid="_x0000_s389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768</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M25" sqref="M25"/>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43" t="s">
        <v>194</v>
      </c>
      <c r="B3" s="1130" t="str">
        <f>'CHECK SHEET'!D7</f>
        <v>Florida SouthWestern State College</v>
      </c>
      <c r="C3" s="1130"/>
      <c r="D3" s="1130"/>
      <c r="E3" s="1130"/>
      <c r="F3" s="434"/>
      <c r="G3" s="427"/>
    </row>
    <row r="4" spans="1:8" ht="24" customHeight="1">
      <c r="A4" s="1126" t="s">
        <v>625</v>
      </c>
      <c r="B4" s="1126"/>
      <c r="C4" s="1126"/>
      <c r="D4" s="1126"/>
      <c r="E4" s="1126"/>
      <c r="F4" s="466"/>
    </row>
    <row r="5" spans="1:8" ht="24" customHeight="1">
      <c r="A5" s="1126" t="s">
        <v>626</v>
      </c>
      <c r="B5" s="1126"/>
      <c r="C5" s="1126"/>
      <c r="D5" s="1126"/>
      <c r="E5" s="1126"/>
      <c r="F5" s="466"/>
    </row>
    <row r="6" spans="1:8" ht="24" customHeight="1">
      <c r="A6" s="1149" t="s">
        <v>783</v>
      </c>
      <c r="B6" s="1149"/>
      <c r="C6" s="1149"/>
      <c r="D6" s="1149"/>
      <c r="E6" s="1149"/>
      <c r="F6" s="467"/>
    </row>
    <row r="7" spans="1:8" ht="20.100000000000001" customHeight="1">
      <c r="A7" s="1147"/>
      <c r="B7" s="1147"/>
      <c r="C7" s="1147"/>
      <c r="D7" s="1148"/>
      <c r="E7" s="1148"/>
      <c r="F7" s="426"/>
    </row>
    <row r="8" spans="1:8" ht="24" customHeight="1" thickBot="1">
      <c r="A8" s="1069" t="s">
        <v>627</v>
      </c>
      <c r="B8" s="1069"/>
      <c r="C8" s="1069"/>
      <c r="D8" s="426"/>
      <c r="E8" s="426"/>
      <c r="F8" s="426"/>
      <c r="H8" s="428"/>
    </row>
    <row r="9" spans="1:8" s="37" customFormat="1" ht="64.349999999999994" customHeight="1" thickBot="1">
      <c r="A9" s="373" t="s">
        <v>628</v>
      </c>
      <c r="B9" s="1042" t="s">
        <v>629</v>
      </c>
      <c r="C9" s="392" t="s">
        <v>630</v>
      </c>
      <c r="D9" s="392" t="s">
        <v>631</v>
      </c>
      <c r="E9" s="462" t="s">
        <v>50</v>
      </c>
      <c r="F9" s="468"/>
      <c r="H9" s="459"/>
    </row>
    <row r="10" spans="1:8" s="37" customFormat="1" ht="20.100000000000001" customHeight="1">
      <c r="A10" s="482" t="s">
        <v>632</v>
      </c>
      <c r="B10" s="579">
        <v>29805821</v>
      </c>
      <c r="C10" s="580">
        <v>2759801</v>
      </c>
      <c r="D10" s="580">
        <v>17000</v>
      </c>
      <c r="E10" s="483">
        <f>SUM(B10:D10)</f>
        <v>32582622</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0</v>
      </c>
      <c r="C12" s="570">
        <v>0</v>
      </c>
      <c r="D12" s="570">
        <v>0</v>
      </c>
      <c r="E12" s="484">
        <f>SUM(B12:D12)</f>
        <v>0</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f>6694395-B15</f>
        <v>6364890</v>
      </c>
      <c r="C14" s="582">
        <f>1010701-C15</f>
        <v>598687</v>
      </c>
      <c r="D14" s="582">
        <v>0</v>
      </c>
      <c r="E14" s="484">
        <f t="shared" ref="E14:E20" si="0">SUM(B14:D14)</f>
        <v>6963577</v>
      </c>
      <c r="F14" s="460"/>
    </row>
    <row r="15" spans="1:8" s="37" customFormat="1" ht="20.100000000000001" customHeight="1">
      <c r="A15" s="482" t="s">
        <v>637</v>
      </c>
      <c r="B15" s="581">
        <f>741519-129236-147961-134817</f>
        <v>329505</v>
      </c>
      <c r="C15" s="570">
        <f>129236+147961+134817</f>
        <v>412014</v>
      </c>
      <c r="D15" s="570">
        <v>0</v>
      </c>
      <c r="E15" s="484">
        <f>SUM(B15:D15)</f>
        <v>741519</v>
      </c>
      <c r="F15" s="460"/>
    </row>
    <row r="16" spans="1:8" s="37" customFormat="1" ht="20.100000000000001" customHeight="1">
      <c r="A16" s="482" t="s">
        <v>638</v>
      </c>
      <c r="B16" s="581">
        <v>9777621</v>
      </c>
      <c r="C16" s="570">
        <v>3091042</v>
      </c>
      <c r="D16" s="570">
        <v>0</v>
      </c>
      <c r="E16" s="484">
        <f t="shared" si="0"/>
        <v>12868663</v>
      </c>
      <c r="F16" s="460"/>
    </row>
    <row r="17" spans="1:6" s="37" customFormat="1" ht="20.100000000000001" customHeight="1">
      <c r="A17" s="482" t="s">
        <v>639</v>
      </c>
      <c r="B17" s="581">
        <v>9587515</v>
      </c>
      <c r="C17" s="570">
        <f>5784626-680000</f>
        <v>5104626</v>
      </c>
      <c r="D17" s="570">
        <v>121500</v>
      </c>
      <c r="E17" s="484">
        <f t="shared" si="0"/>
        <v>14813641</v>
      </c>
      <c r="F17" s="460"/>
    </row>
    <row r="18" spans="1:6" s="37" customFormat="1" ht="20.100000000000001" customHeight="1">
      <c r="A18" s="482" t="s">
        <v>640</v>
      </c>
      <c r="B18" s="581">
        <v>3877306</v>
      </c>
      <c r="C18" s="570">
        <v>5698527</v>
      </c>
      <c r="D18" s="570">
        <v>0</v>
      </c>
      <c r="E18" s="484">
        <f t="shared" si="0"/>
        <v>9575833</v>
      </c>
      <c r="F18" s="460"/>
    </row>
    <row r="19" spans="1:6" s="37" customFormat="1" ht="20.100000000000001" customHeight="1">
      <c r="A19" s="482" t="s">
        <v>641</v>
      </c>
      <c r="B19" s="581">
        <v>0</v>
      </c>
      <c r="C19" s="570">
        <v>0</v>
      </c>
      <c r="D19" s="570">
        <v>0</v>
      </c>
      <c r="E19" s="484">
        <f t="shared" si="0"/>
        <v>0</v>
      </c>
      <c r="F19" s="460"/>
    </row>
    <row r="20" spans="1:6" s="37" customFormat="1" ht="20.100000000000001" customHeight="1" thickBot="1">
      <c r="A20" s="482" t="s">
        <v>642</v>
      </c>
      <c r="B20" s="581">
        <v>0</v>
      </c>
      <c r="C20" s="571">
        <v>980000</v>
      </c>
      <c r="D20" s="571">
        <v>0</v>
      </c>
      <c r="E20" s="484">
        <f t="shared" si="0"/>
        <v>980000</v>
      </c>
      <c r="F20" s="460"/>
    </row>
    <row r="21" spans="1:6" s="37" customFormat="1" ht="24" customHeight="1" thickBot="1">
      <c r="A21" s="380" t="s">
        <v>50</v>
      </c>
      <c r="B21" s="461">
        <f>SUM(B10:B20)</f>
        <v>59742658</v>
      </c>
      <c r="C21" s="464">
        <f>SUM(C10:C20)</f>
        <v>18644697</v>
      </c>
      <c r="D21" s="464">
        <f>SUM(D10:D20)</f>
        <v>138500</v>
      </c>
      <c r="E21" s="463">
        <f>SUM(E10:E20)</f>
        <v>78525855</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N50" sqref="N50"/>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r:id="rId5">
            <anchor moveWithCells="1">
              <from>
                <xdr:col>0</xdr:col>
                <xdr:colOff>0</xdr:colOff>
                <xdr:row>4</xdr:row>
                <xdr:rowOff>0</xdr:rowOff>
              </from>
              <to>
                <xdr:col>1</xdr:col>
                <xdr:colOff>581025</xdr:colOff>
                <xdr:row>50</xdr:row>
                <xdr:rowOff>95250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76" zoomScale="60" zoomScaleNormal="60" zoomScaleSheetLayoutView="50" zoomScalePageLayoutView="60" workbookViewId="0">
      <selection activeCell="F160" sqref="F160"/>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26" t="s">
        <v>194</v>
      </c>
      <c r="B1" s="1150" t="str">
        <f>'CHECK SHEET'!D7</f>
        <v>Florida SouthWestern State College</v>
      </c>
      <c r="C1" s="1150"/>
      <c r="D1" s="1150"/>
      <c r="E1" s="1150"/>
      <c r="F1" s="1150"/>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51" t="s">
        <v>646</v>
      </c>
      <c r="B2" s="1151"/>
      <c r="C2" s="1151"/>
      <c r="D2" s="1151"/>
      <c r="E2" s="1151"/>
      <c r="F2" s="1151"/>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52" t="s">
        <v>647</v>
      </c>
      <c r="B3" s="1152"/>
      <c r="C3" s="1152"/>
      <c r="D3" s="1152"/>
      <c r="E3" s="1152"/>
      <c r="F3" s="1152"/>
    </row>
    <row r="4" spans="1:224" ht="30" customHeight="1">
      <c r="A4" s="1151" t="s">
        <v>783</v>
      </c>
      <c r="B4" s="1151"/>
      <c r="C4" s="1151"/>
      <c r="D4" s="1151"/>
      <c r="E4" s="1151"/>
      <c r="F4" s="1151"/>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088"/>
      <c r="B5" s="1088"/>
      <c r="C5" s="1088"/>
      <c r="D5" s="1088"/>
      <c r="E5" s="1088"/>
      <c r="F5" s="1088"/>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086" t="s">
        <v>627</v>
      </c>
      <c r="B7" s="1087"/>
      <c r="C7" s="1080" t="s">
        <v>743</v>
      </c>
      <c r="D7" s="1081"/>
      <c r="E7" s="1081"/>
      <c r="F7" s="1082"/>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23" t="s">
        <v>648</v>
      </c>
      <c r="B8" s="1224"/>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78" t="s">
        <v>426</v>
      </c>
      <c r="B9" s="1083"/>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91035</v>
      </c>
      <c r="E10" s="583">
        <v>0</v>
      </c>
      <c r="F10" s="307">
        <f t="shared" ref="F10:F80" si="0">+D10+E10</f>
        <v>91035</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v>0</v>
      </c>
      <c r="E11" s="938">
        <v>0</v>
      </c>
      <c r="F11" s="939">
        <f t="shared" si="0"/>
        <v>0</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v>866059</v>
      </c>
      <c r="E15" s="938">
        <v>0</v>
      </c>
      <c r="F15" s="939">
        <f t="shared" si="0"/>
        <v>866059</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938">
        <f>59547+75930+100707</f>
        <v>236184</v>
      </c>
      <c r="E16" s="938">
        <v>0</v>
      </c>
      <c r="F16" s="939">
        <f t="shared" si="0"/>
        <v>236184</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v>0</v>
      </c>
      <c r="E25" s="938">
        <v>0</v>
      </c>
      <c r="F25" s="939">
        <f t="shared" si="0"/>
        <v>0</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f>42278+78223+57317</f>
        <v>177818</v>
      </c>
      <c r="E34" s="938">
        <v>0</v>
      </c>
      <c r="F34" s="939">
        <f t="shared" si="0"/>
        <v>177818</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938">
        <v>0</v>
      </c>
      <c r="E35" s="938">
        <v>0</v>
      </c>
      <c r="F35" s="939">
        <f>+D35+E35</f>
        <v>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938">
        <f>73983+19881</f>
        <v>93864</v>
      </c>
      <c r="E48" s="938">
        <v>0</v>
      </c>
      <c r="F48" s="939">
        <f t="shared" si="0"/>
        <v>93864</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938">
        <v>136272</v>
      </c>
      <c r="E49" s="938">
        <v>0</v>
      </c>
      <c r="F49" s="939">
        <f t="shared" si="0"/>
        <v>136272</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f>2731</f>
        <v>2731</v>
      </c>
      <c r="E52" s="938">
        <v>0</v>
      </c>
      <c r="F52" s="939">
        <f t="shared" si="0"/>
        <v>2731</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938">
        <f>82510+610+3828</f>
        <v>86948</v>
      </c>
      <c r="E54" s="938">
        <v>0</v>
      </c>
      <c r="F54" s="939">
        <f t="shared" si="0"/>
        <v>86948</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1690911</v>
      </c>
      <c r="E57" s="349">
        <f>SUM(E10:E56)</f>
        <v>0</v>
      </c>
      <c r="F57" s="349">
        <f t="shared" si="0"/>
        <v>1690911</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80" t="str">
        <f>C7</f>
        <v>2021-22</v>
      </c>
      <c r="D61" s="1081"/>
      <c r="E61" s="1081"/>
      <c r="F61" s="1082"/>
      <c r="G61" s="308"/>
      <c r="H61" s="309"/>
      <c r="I61" s="309"/>
      <c r="J61" s="309"/>
      <c r="K61" s="309"/>
      <c r="L61" s="309"/>
      <c r="M61" s="309"/>
      <c r="N61" s="309"/>
      <c r="O61" s="309"/>
      <c r="P61" s="309"/>
      <c r="Q61" s="309"/>
      <c r="R61" s="310"/>
      <c r="S61" s="310"/>
      <c r="T61" s="310"/>
      <c r="U61" s="310"/>
    </row>
    <row r="62" spans="1:21" s="311" customFormat="1" ht="111.6" customHeight="1" thickBot="1">
      <c r="A62" s="1223" t="s">
        <v>648</v>
      </c>
      <c r="B62" s="1224"/>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084" t="s">
        <v>171</v>
      </c>
      <c r="B63" s="1085"/>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4506</v>
      </c>
      <c r="E64" s="583">
        <v>0</v>
      </c>
      <c r="F64" s="307">
        <f t="shared" si="0"/>
        <v>4506</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22950</v>
      </c>
      <c r="E67" s="938">
        <v>0</v>
      </c>
      <c r="F67" s="939">
        <f t="shared" si="0"/>
        <v>22950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344</v>
      </c>
      <c r="E69" s="938">
        <v>0</v>
      </c>
      <c r="F69" s="939">
        <f t="shared" si="0"/>
        <v>344</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938">
        <v>26311</v>
      </c>
      <c r="E79" s="938">
        <v>0</v>
      </c>
      <c r="F79" s="939">
        <f t="shared" si="0"/>
        <v>26311</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938">
        <v>78242</v>
      </c>
      <c r="E82" s="938">
        <v>0</v>
      </c>
      <c r="F82" s="939">
        <f t="shared" si="1"/>
        <v>78242</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938">
        <v>106249</v>
      </c>
      <c r="E83" s="938">
        <v>0</v>
      </c>
      <c r="F83" s="939">
        <f t="shared" si="1"/>
        <v>106249</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154687</v>
      </c>
      <c r="E84" s="938">
        <v>0</v>
      </c>
      <c r="F84" s="939">
        <f t="shared" si="1"/>
        <v>154687</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16248</v>
      </c>
      <c r="E86" s="938">
        <v>0</v>
      </c>
      <c r="F86" s="939">
        <f t="shared" si="1"/>
        <v>16248</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0</v>
      </c>
      <c r="E101" s="938">
        <v>0</v>
      </c>
      <c r="F101" s="944">
        <f t="shared" si="1"/>
        <v>0</v>
      </c>
      <c r="G101" s="308"/>
      <c r="H101" s="308"/>
      <c r="I101" s="308"/>
      <c r="J101" s="308"/>
      <c r="K101" s="308"/>
      <c r="L101" s="308"/>
      <c r="M101" s="308"/>
      <c r="N101" s="308"/>
      <c r="O101" s="308"/>
      <c r="P101" s="308"/>
      <c r="Q101" s="308"/>
    </row>
    <row r="102" spans="1:17" s="311" customFormat="1" ht="30" customHeight="1" thickBot="1">
      <c r="A102" s="1078" t="s">
        <v>657</v>
      </c>
      <c r="B102" s="1083"/>
      <c r="C102" s="346"/>
      <c r="D102" s="345">
        <f>SUM(D64:D101)</f>
        <v>409537</v>
      </c>
      <c r="E102" s="345">
        <f>SUM(E64:E101)</f>
        <v>0</v>
      </c>
      <c r="F102" s="345">
        <f t="shared" si="1"/>
        <v>409537</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80" t="str">
        <f>C7</f>
        <v>2021-22</v>
      </c>
      <c r="D105" s="1081"/>
      <c r="E105" s="1081"/>
      <c r="F105" s="1082"/>
      <c r="G105" s="308"/>
      <c r="H105" s="308"/>
      <c r="I105" s="308"/>
      <c r="J105" s="308"/>
      <c r="K105" s="308"/>
      <c r="L105" s="308"/>
      <c r="M105" s="308"/>
      <c r="N105" s="308"/>
      <c r="O105" s="308"/>
      <c r="P105" s="308"/>
      <c r="Q105" s="308"/>
    </row>
    <row r="106" spans="1:17" s="311" customFormat="1" ht="111.6" customHeight="1" thickBot="1">
      <c r="A106" s="1225" t="s">
        <v>172</v>
      </c>
      <c r="B106" s="1226"/>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56" t="s">
        <v>791</v>
      </c>
      <c r="B113" s="936"/>
      <c r="C113" s="1253">
        <v>73100</v>
      </c>
      <c r="D113" s="1254">
        <v>0</v>
      </c>
      <c r="E113" s="1254"/>
      <c r="F113" s="1255"/>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78" t="s">
        <v>612</v>
      </c>
      <c r="B120" s="1083"/>
      <c r="C120" s="335"/>
      <c r="D120" s="345">
        <f>+D57+D102+D118</f>
        <v>2100448</v>
      </c>
      <c r="E120" s="345">
        <f>+E57+E102+E118</f>
        <v>0</v>
      </c>
      <c r="F120" s="345">
        <f>SUM(D120:E120)</f>
        <v>2100448</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23" t="s">
        <v>660</v>
      </c>
      <c r="B123" s="1224"/>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1809456</v>
      </c>
      <c r="E125" s="938">
        <v>0</v>
      </c>
      <c r="F125" s="939">
        <f t="shared" ref="F125:F135" si="3">+D125+E125</f>
        <v>1809456</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290992</v>
      </c>
      <c r="E126" s="938">
        <v>0</v>
      </c>
      <c r="F126" s="939">
        <f t="shared" si="3"/>
        <v>290992</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27" t="s">
        <v>784</v>
      </c>
      <c r="B129" s="1228"/>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78" t="s">
        <v>672</v>
      </c>
      <c r="B136" s="1079"/>
      <c r="C136" s="335"/>
      <c r="D136" s="336">
        <f>SUM(D124:D135)</f>
        <v>2100448</v>
      </c>
      <c r="E136" s="337">
        <f>SUM(E124:E135)</f>
        <v>0</v>
      </c>
      <c r="F136" s="338">
        <f>SUM(F124:F135)</f>
        <v>2100448</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53" t="s">
        <v>673</v>
      </c>
      <c r="B138" s="1153"/>
      <c r="C138" s="1154"/>
      <c r="D138" s="329">
        <f>D136-D120</f>
        <v>0</v>
      </c>
      <c r="E138" s="329">
        <f t="shared" ref="E138:F138" si="4">E136-E120</f>
        <v>0</v>
      </c>
      <c r="F138" s="329">
        <f t="shared" si="4"/>
        <v>0</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70"/>
      <c r="B141" s="1071"/>
      <c r="C141" s="1071"/>
      <c r="D141" s="1071"/>
      <c r="E141" s="1071"/>
      <c r="F141" s="1072"/>
      <c r="G141" s="325"/>
      <c r="H141" s="325"/>
      <c r="I141" s="325"/>
      <c r="J141" s="325"/>
      <c r="K141" s="325"/>
      <c r="L141" s="325"/>
      <c r="M141" s="325"/>
      <c r="N141" s="325"/>
      <c r="O141" s="325"/>
      <c r="P141" s="325"/>
      <c r="Q141" s="325"/>
    </row>
    <row r="142" spans="1:17" ht="30" customHeight="1">
      <c r="A142" s="1073"/>
      <c r="B142" s="1026"/>
      <c r="C142" s="1026"/>
      <c r="D142" s="1026"/>
      <c r="E142" s="1026"/>
      <c r="F142" s="1074"/>
      <c r="G142" s="325"/>
      <c r="H142" s="325"/>
      <c r="I142" s="325"/>
      <c r="J142" s="325"/>
      <c r="K142" s="325"/>
      <c r="L142" s="325"/>
      <c r="M142" s="325"/>
      <c r="N142" s="325"/>
      <c r="O142" s="325"/>
      <c r="P142" s="325"/>
      <c r="Q142" s="325"/>
    </row>
    <row r="143" spans="1:17" ht="30" customHeight="1">
      <c r="A143" s="1073"/>
      <c r="B143" s="1026"/>
      <c r="C143" s="1026"/>
      <c r="D143" s="1026"/>
      <c r="E143" s="1026"/>
      <c r="F143" s="1074"/>
      <c r="G143" s="325"/>
      <c r="H143" s="325"/>
      <c r="I143" s="325"/>
      <c r="J143" s="325"/>
      <c r="K143" s="325"/>
      <c r="L143" s="325"/>
      <c r="M143" s="325"/>
      <c r="N143" s="325"/>
      <c r="O143" s="325"/>
      <c r="P143" s="325"/>
      <c r="Q143" s="325"/>
    </row>
    <row r="144" spans="1:17" ht="30" customHeight="1">
      <c r="A144" s="1073"/>
      <c r="B144" s="1026"/>
      <c r="C144" s="1026"/>
      <c r="D144" s="1026"/>
      <c r="E144" s="1026"/>
      <c r="F144" s="1074"/>
      <c r="G144" s="325"/>
      <c r="H144" s="325"/>
      <c r="I144" s="325"/>
      <c r="J144" s="325"/>
      <c r="K144" s="325"/>
      <c r="L144" s="325"/>
      <c r="M144" s="325"/>
      <c r="N144" s="325"/>
      <c r="O144" s="325"/>
      <c r="P144" s="325"/>
      <c r="Q144" s="325"/>
    </row>
    <row r="145" spans="1:17" ht="30" customHeight="1">
      <c r="A145" s="1073"/>
      <c r="B145" s="1026"/>
      <c r="C145" s="1026"/>
      <c r="D145" s="1026"/>
      <c r="E145" s="1026"/>
      <c r="F145" s="1074"/>
      <c r="G145" s="325"/>
      <c r="H145" s="325"/>
      <c r="I145" s="325"/>
      <c r="J145" s="325"/>
      <c r="K145" s="325"/>
      <c r="L145" s="325"/>
      <c r="M145" s="325"/>
      <c r="N145" s="325"/>
      <c r="O145" s="325"/>
      <c r="P145" s="325"/>
      <c r="Q145" s="325"/>
    </row>
    <row r="146" spans="1:17" ht="30" customHeight="1">
      <c r="A146" s="1073"/>
      <c r="B146" s="1026"/>
      <c r="C146" s="1026"/>
      <c r="D146" s="1026"/>
      <c r="E146" s="1026"/>
      <c r="F146" s="1074"/>
      <c r="G146" s="325"/>
      <c r="H146" s="325"/>
      <c r="I146" s="325"/>
      <c r="J146" s="325"/>
      <c r="K146" s="325"/>
      <c r="L146" s="325"/>
      <c r="M146" s="325"/>
      <c r="N146" s="325"/>
      <c r="O146" s="325"/>
      <c r="P146" s="325"/>
      <c r="Q146" s="325"/>
    </row>
    <row r="147" spans="1:17" ht="30" customHeight="1" thickBot="1">
      <c r="A147" s="1075"/>
      <c r="B147" s="1076"/>
      <c r="C147" s="1076"/>
      <c r="D147" s="1076"/>
      <c r="E147" s="1076"/>
      <c r="F147" s="1077"/>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70"/>
      <c r="B150" s="1071"/>
      <c r="C150" s="1071"/>
      <c r="D150" s="1071"/>
      <c r="E150" s="1071"/>
      <c r="F150" s="1072"/>
      <c r="G150" s="325"/>
      <c r="H150" s="325"/>
      <c r="I150" s="325"/>
      <c r="J150" s="325"/>
      <c r="K150" s="325"/>
      <c r="L150" s="325"/>
      <c r="M150" s="325"/>
      <c r="N150" s="325"/>
      <c r="O150" s="325"/>
      <c r="P150" s="325"/>
      <c r="Q150" s="325"/>
    </row>
    <row r="151" spans="1:17" ht="30" customHeight="1">
      <c r="A151" s="1073"/>
      <c r="B151" s="1026"/>
      <c r="C151" s="1026"/>
      <c r="D151" s="1026"/>
      <c r="E151" s="1026"/>
      <c r="F151" s="1074"/>
      <c r="G151" s="325"/>
      <c r="H151" s="325"/>
      <c r="I151" s="325"/>
      <c r="J151" s="325"/>
      <c r="K151" s="325"/>
      <c r="L151" s="325"/>
      <c r="M151" s="325"/>
      <c r="N151" s="325"/>
      <c r="O151" s="325"/>
      <c r="P151" s="325"/>
      <c r="Q151" s="325"/>
    </row>
    <row r="152" spans="1:17" ht="30" customHeight="1">
      <c r="A152" s="1073"/>
      <c r="B152" s="1026"/>
      <c r="C152" s="1026"/>
      <c r="D152" s="1026"/>
      <c r="E152" s="1026"/>
      <c r="F152" s="1074"/>
      <c r="G152" s="325"/>
      <c r="H152" s="325"/>
      <c r="I152" s="325"/>
      <c r="J152" s="325"/>
      <c r="K152" s="325"/>
      <c r="L152" s="325"/>
      <c r="M152" s="325"/>
      <c r="N152" s="325"/>
      <c r="O152" s="325"/>
      <c r="P152" s="325"/>
      <c r="Q152" s="325"/>
    </row>
    <row r="153" spans="1:17" ht="30" customHeight="1">
      <c r="A153" s="1073"/>
      <c r="B153" s="1026"/>
      <c r="C153" s="1026"/>
      <c r="D153" s="1026"/>
      <c r="E153" s="1026"/>
      <c r="F153" s="1074"/>
      <c r="G153" s="325"/>
      <c r="H153" s="325"/>
      <c r="I153" s="325"/>
      <c r="J153" s="325"/>
      <c r="K153" s="325"/>
      <c r="L153" s="325"/>
      <c r="M153" s="325"/>
      <c r="N153" s="325"/>
      <c r="O153" s="325"/>
      <c r="P153" s="325"/>
      <c r="Q153" s="325"/>
    </row>
    <row r="154" spans="1:17" ht="30" customHeight="1">
      <c r="A154" s="1073"/>
      <c r="B154" s="1026"/>
      <c r="C154" s="1026"/>
      <c r="D154" s="1026"/>
      <c r="E154" s="1026"/>
      <c r="F154" s="1074"/>
      <c r="G154" s="325"/>
      <c r="H154" s="325"/>
      <c r="I154" s="325"/>
      <c r="J154" s="325"/>
      <c r="K154" s="325"/>
      <c r="L154" s="325"/>
      <c r="M154" s="325"/>
      <c r="N154" s="325"/>
      <c r="O154" s="325"/>
      <c r="P154" s="325"/>
      <c r="Q154" s="325"/>
    </row>
    <row r="155" spans="1:17" ht="30" customHeight="1">
      <c r="A155" s="1073"/>
      <c r="B155" s="1026"/>
      <c r="C155" s="1026"/>
      <c r="D155" s="1026"/>
      <c r="E155" s="1026"/>
      <c r="F155" s="1074"/>
      <c r="G155" s="325"/>
      <c r="H155" s="325"/>
      <c r="I155" s="325"/>
      <c r="J155" s="325"/>
      <c r="K155" s="325"/>
      <c r="L155" s="325"/>
      <c r="M155" s="325"/>
      <c r="N155" s="325"/>
      <c r="O155" s="325"/>
      <c r="P155" s="325"/>
      <c r="Q155" s="325"/>
    </row>
    <row r="156" spans="1:17" ht="30" customHeight="1" thickBot="1">
      <c r="A156" s="1075"/>
      <c r="B156" s="1076"/>
      <c r="C156" s="1076"/>
      <c r="D156" s="1076"/>
      <c r="E156" s="1076"/>
      <c r="F156" s="1077"/>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election activeCell="N34" sqref="N34"/>
    </sheetView>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26" t="s">
        <v>11</v>
      </c>
      <c r="C1" s="1126"/>
      <c r="D1" s="1126"/>
      <c r="E1" s="1126"/>
      <c r="F1" s="355"/>
      <c r="G1" s="355"/>
    </row>
    <row r="2" spans="2:7" ht="26.25">
      <c r="B2" s="1126" t="s">
        <v>785</v>
      </c>
      <c r="C2" s="1126"/>
      <c r="D2" s="1126"/>
      <c r="E2" s="1126"/>
      <c r="F2" s="355"/>
      <c r="G2" s="355"/>
    </row>
    <row r="3" spans="2:7" ht="21">
      <c r="B3" s="1112"/>
      <c r="C3" s="1112"/>
      <c r="D3" s="1112"/>
      <c r="E3" s="1112"/>
      <c r="F3" s="355"/>
      <c r="G3" s="355"/>
    </row>
    <row r="4" spans="2:7" ht="21.75" thickBot="1">
      <c r="B4" s="1252"/>
      <c r="C4" s="1252"/>
      <c r="D4" s="1252"/>
      <c r="E4" s="1252"/>
      <c r="F4" s="355"/>
      <c r="G4" s="355"/>
    </row>
    <row r="5" spans="2:7" ht="48" customHeight="1">
      <c r="B5" s="1105" t="s">
        <v>676</v>
      </c>
      <c r="C5" s="1232" t="s">
        <v>677</v>
      </c>
      <c r="D5" s="1233"/>
      <c r="E5" s="1234"/>
    </row>
    <row r="6" spans="2:7">
      <c r="B6" s="1106"/>
      <c r="C6" s="1092" t="s">
        <v>678</v>
      </c>
      <c r="D6" s="951" t="s">
        <v>679</v>
      </c>
      <c r="E6" s="952" t="s">
        <v>680</v>
      </c>
    </row>
    <row r="7" spans="2:7" ht="29.25" customHeight="1">
      <c r="B7" s="1107"/>
      <c r="C7" s="1093"/>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08" t="s">
        <v>685</v>
      </c>
      <c r="C13" s="1229" t="s">
        <v>677</v>
      </c>
      <c r="D13" s="1230"/>
      <c r="E13" s="1231"/>
    </row>
    <row r="14" spans="2:7">
      <c r="B14" s="1106"/>
      <c r="C14" s="1092" t="s">
        <v>678</v>
      </c>
      <c r="D14" s="965" t="s">
        <v>679</v>
      </c>
      <c r="E14" s="966" t="s">
        <v>680</v>
      </c>
    </row>
    <row r="15" spans="2:7">
      <c r="B15" s="1107"/>
      <c r="C15" s="1093"/>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09" t="s">
        <v>691</v>
      </c>
      <c r="C23" s="1235" t="s">
        <v>677</v>
      </c>
      <c r="D23" s="1236"/>
      <c r="E23" s="1237"/>
    </row>
    <row r="24" spans="2:5">
      <c r="B24" s="1110"/>
      <c r="C24" s="1092" t="s">
        <v>678</v>
      </c>
      <c r="D24" s="951" t="s">
        <v>679</v>
      </c>
      <c r="E24" s="972" t="s">
        <v>680</v>
      </c>
    </row>
    <row r="25" spans="2:5">
      <c r="B25" s="1111"/>
      <c r="C25" s="1093"/>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00" t="s">
        <v>693</v>
      </c>
      <c r="C31" s="1229" t="s">
        <v>677</v>
      </c>
      <c r="D31" s="1230"/>
      <c r="E31" s="1238"/>
    </row>
    <row r="32" spans="2:5">
      <c r="B32" s="1101"/>
      <c r="C32" s="1092" t="s">
        <v>678</v>
      </c>
      <c r="D32" s="951" t="s">
        <v>679</v>
      </c>
      <c r="E32" s="972" t="s">
        <v>680</v>
      </c>
    </row>
    <row r="33" spans="2:7">
      <c r="B33" s="1102"/>
      <c r="C33" s="1093"/>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03" t="s">
        <v>696</v>
      </c>
      <c r="C42" s="1103"/>
      <c r="D42" s="1103"/>
      <c r="E42" s="1103"/>
    </row>
    <row r="43" spans="2:7">
      <c r="B43" s="1103"/>
      <c r="C43" s="1103"/>
      <c r="D43" s="1103"/>
      <c r="E43" s="1103"/>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55"/>
      <c r="D46" s="363"/>
      <c r="E46" s="363"/>
    </row>
    <row r="47" spans="2:7">
      <c r="B47" s="365" t="s">
        <v>698</v>
      </c>
      <c r="D47" s="363"/>
      <c r="E47" s="363"/>
      <c r="G47" s="1156"/>
    </row>
    <row r="48" spans="2:7">
      <c r="D48" s="363"/>
      <c r="E48" s="363"/>
    </row>
    <row r="49" spans="2:5" ht="15" customHeight="1">
      <c r="B49" s="1103"/>
      <c r="C49" s="1103"/>
      <c r="D49" s="1103"/>
      <c r="E49" s="1103"/>
    </row>
    <row r="50" spans="2:5">
      <c r="B50" s="1103"/>
      <c r="C50" s="1103"/>
      <c r="D50" s="1103"/>
      <c r="E50" s="1103"/>
    </row>
    <row r="51" spans="2:5">
      <c r="B51" s="1103"/>
      <c r="C51" s="1103"/>
      <c r="D51" s="1103"/>
      <c r="E51" s="1103"/>
    </row>
    <row r="52" spans="2:5" ht="21">
      <c r="B52" s="1112" t="str">
        <f>B1</f>
        <v>THE FLORIDA COLLEGE SYSTEM</v>
      </c>
      <c r="C52" s="1112"/>
      <c r="D52" s="1112"/>
      <c r="E52" s="1112"/>
    </row>
    <row r="53" spans="2:5" ht="21">
      <c r="B53" s="1112" t="str">
        <f>B2&amp;" , cont."</f>
        <v>FALL 2021-22 TUITION INCREASED BY 0% , cont.</v>
      </c>
      <c r="C53" s="1112"/>
      <c r="D53" s="1112"/>
      <c r="E53" s="1112"/>
    </row>
    <row r="54" spans="2:5" ht="21">
      <c r="B54" s="1112"/>
      <c r="C54" s="1112"/>
      <c r="D54" s="1112"/>
      <c r="E54" s="1112"/>
    </row>
    <row r="55" spans="2:5" ht="16.5" thickBot="1">
      <c r="B55" s="357"/>
      <c r="C55" s="359"/>
      <c r="D55" s="359"/>
      <c r="E55" s="359"/>
    </row>
    <row r="56" spans="2:5" ht="33" customHeight="1">
      <c r="B56" s="1095" t="s">
        <v>699</v>
      </c>
      <c r="C56" s="1235" t="s">
        <v>677</v>
      </c>
      <c r="D56" s="1236"/>
      <c r="E56" s="1237"/>
    </row>
    <row r="57" spans="2:5">
      <c r="B57" s="1096"/>
      <c r="C57" s="1092" t="s">
        <v>678</v>
      </c>
      <c r="D57" s="951" t="s">
        <v>679</v>
      </c>
      <c r="E57" s="972" t="s">
        <v>680</v>
      </c>
    </row>
    <row r="58" spans="2:5">
      <c r="B58" s="1097"/>
      <c r="C58" s="1093"/>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098" t="s">
        <v>702</v>
      </c>
      <c r="C63" s="1229" t="s">
        <v>677</v>
      </c>
      <c r="D63" s="1230"/>
      <c r="E63" s="1238"/>
    </row>
    <row r="64" spans="2:5">
      <c r="B64" s="1096"/>
      <c r="C64" s="1092" t="s">
        <v>678</v>
      </c>
      <c r="D64" s="951" t="s">
        <v>679</v>
      </c>
      <c r="E64" s="972" t="s">
        <v>680</v>
      </c>
    </row>
    <row r="65" spans="2:16">
      <c r="B65" s="1097"/>
      <c r="C65" s="1093"/>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089" t="s">
        <v>705</v>
      </c>
      <c r="C72" s="1235" t="s">
        <v>706</v>
      </c>
      <c r="D72" s="1236"/>
      <c r="E72" s="1237"/>
    </row>
    <row r="73" spans="2:16">
      <c r="B73" s="1090"/>
      <c r="C73" s="1092" t="s">
        <v>678</v>
      </c>
      <c r="D73" s="951" t="s">
        <v>679</v>
      </c>
      <c r="E73" s="972" t="s">
        <v>680</v>
      </c>
    </row>
    <row r="74" spans="2:16">
      <c r="B74" s="1091"/>
      <c r="C74" s="1093"/>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04"/>
      <c r="G76" s="1104"/>
      <c r="H76" s="1104"/>
      <c r="I76" s="1104"/>
      <c r="J76" s="1104"/>
      <c r="K76" s="1104"/>
      <c r="L76" s="1104"/>
      <c r="M76" s="1104"/>
      <c r="N76" s="1104"/>
      <c r="O76" s="1104"/>
      <c r="P76" s="1104"/>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04"/>
      <c r="G78" s="1104"/>
      <c r="H78" s="1104"/>
      <c r="I78" s="1104"/>
      <c r="J78" s="1104"/>
      <c r="K78" s="1104"/>
      <c r="L78" s="1104"/>
      <c r="M78" s="1104"/>
      <c r="N78" s="1104"/>
      <c r="O78" s="1104"/>
      <c r="P78" s="1104"/>
    </row>
    <row r="79" spans="2:16" ht="15" customHeight="1">
      <c r="B79" s="360" t="s">
        <v>709</v>
      </c>
      <c r="C79" s="361"/>
      <c r="D79" s="361"/>
      <c r="E79" s="361"/>
    </row>
    <row r="80" spans="2:16" ht="15" customHeight="1">
      <c r="B80" s="360"/>
      <c r="C80" s="361"/>
      <c r="D80" s="361"/>
      <c r="E80" s="361"/>
    </row>
    <row r="81" spans="2:5" ht="30.6" customHeight="1">
      <c r="B81" s="1099" t="s">
        <v>710</v>
      </c>
      <c r="C81" s="1099"/>
      <c r="D81" s="1099"/>
      <c r="E81" s="1099"/>
    </row>
    <row r="83" spans="2:5" ht="15" customHeight="1"/>
    <row r="85" spans="2:5">
      <c r="B85" s="363"/>
      <c r="C85" s="1157"/>
      <c r="D85" s="1157"/>
      <c r="E85" s="1157"/>
    </row>
    <row r="86" spans="2:5">
      <c r="B86" s="363"/>
      <c r="C86" s="364"/>
      <c r="D86" s="364"/>
      <c r="E86" s="364"/>
    </row>
    <row r="87" spans="2:5">
      <c r="B87" s="363"/>
      <c r="C87" s="1155"/>
      <c r="D87" s="363"/>
      <c r="E87" s="363"/>
    </row>
    <row r="88" spans="2:5">
      <c r="B88" s="363"/>
      <c r="C88" s="1155"/>
      <c r="D88" s="363"/>
      <c r="E88" s="363"/>
    </row>
    <row r="89" spans="2:5">
      <c r="B89" s="363"/>
      <c r="C89" s="363"/>
      <c r="D89" s="363"/>
      <c r="E89" s="363"/>
    </row>
    <row r="90" spans="2:5">
      <c r="B90" s="363"/>
      <c r="C90" s="363"/>
      <c r="D90" s="363"/>
      <c r="E90" s="363"/>
    </row>
    <row r="91" spans="2:5">
      <c r="B91" s="1094"/>
      <c r="C91" s="1094"/>
      <c r="D91" s="1094"/>
      <c r="E91" s="1094"/>
    </row>
    <row r="92" spans="2:5">
      <c r="B92" s="1094"/>
      <c r="C92" s="1094"/>
      <c r="D92" s="1094"/>
      <c r="E92" s="1094"/>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26" t="s">
        <v>11</v>
      </c>
      <c r="B1" s="1126"/>
      <c r="C1" s="1126"/>
    </row>
    <row r="2" spans="1:21" s="103" customFormat="1" ht="21" customHeight="1" thickBot="1">
      <c r="A2" s="1126" t="s">
        <v>786</v>
      </c>
      <c r="B2" s="1126"/>
      <c r="C2" s="1126"/>
      <c r="D2" s="104"/>
      <c r="E2" s="104"/>
      <c r="F2" s="104"/>
      <c r="G2" s="104"/>
      <c r="H2" s="104"/>
      <c r="I2" s="104"/>
      <c r="J2" s="104"/>
      <c r="K2" s="104"/>
      <c r="L2" s="104"/>
      <c r="M2" s="104"/>
      <c r="N2" s="104"/>
      <c r="O2" s="104"/>
      <c r="P2" s="104"/>
      <c r="Q2" s="104"/>
      <c r="R2" s="104"/>
      <c r="S2" s="104"/>
      <c r="T2" s="104"/>
      <c r="U2" s="104"/>
    </row>
    <row r="3" spans="1:21" s="103" customFormat="1" ht="26.45" customHeight="1">
      <c r="A3" s="1251" t="s">
        <v>711</v>
      </c>
      <c r="B3" s="1239"/>
      <c r="C3" s="1240"/>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45" t="s">
        <v>716</v>
      </c>
      <c r="B7" s="1246"/>
      <c r="C7" s="1247"/>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45" t="s">
        <v>718</v>
      </c>
      <c r="B11" s="1246"/>
      <c r="C11" s="1247"/>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48" t="s">
        <v>722</v>
      </c>
      <c r="B14" s="1249"/>
      <c r="C14" s="1250"/>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45" t="s">
        <v>724</v>
      </c>
      <c r="B17" s="1246"/>
      <c r="C17" s="1247"/>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45" t="s">
        <v>727</v>
      </c>
      <c r="B20" s="1246"/>
      <c r="C20" s="1247"/>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45" t="s">
        <v>728</v>
      </c>
      <c r="B23" s="1246"/>
      <c r="C23" s="1247"/>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45" t="s">
        <v>729</v>
      </c>
      <c r="B26" s="1246"/>
      <c r="C26" s="1247"/>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41" t="s">
        <v>730</v>
      </c>
      <c r="B30" s="1241"/>
      <c r="C30" s="1241"/>
    </row>
    <row r="31" spans="1:21" ht="14.45" customHeight="1">
      <c r="A31" s="1242"/>
      <c r="B31" s="1242"/>
      <c r="C31" s="1242"/>
    </row>
    <row r="32" spans="1:21" ht="31.35" customHeight="1">
      <c r="A32" s="1241" t="s">
        <v>731</v>
      </c>
      <c r="B32" s="1241"/>
      <c r="C32" s="1241"/>
    </row>
    <row r="33" spans="1:3" ht="14.45" customHeight="1">
      <c r="A33" s="1242"/>
      <c r="B33" s="1242"/>
      <c r="C33" s="1242"/>
    </row>
    <row r="34" spans="1:3" ht="30" customHeight="1">
      <c r="A34" s="1241" t="s">
        <v>732</v>
      </c>
      <c r="B34" s="1241"/>
      <c r="C34" s="1241"/>
    </row>
    <row r="35" spans="1:3" ht="14.45" customHeight="1">
      <c r="A35" s="1242"/>
      <c r="B35" s="1242"/>
      <c r="C35" s="1242"/>
    </row>
    <row r="36" spans="1:3" ht="15" customHeight="1">
      <c r="A36" s="1243" t="s">
        <v>733</v>
      </c>
      <c r="B36" s="1242"/>
      <c r="C36" s="1242"/>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topLeftCell="A13" zoomScale="70" zoomScaleNormal="70" zoomScalePageLayoutView="70" workbookViewId="0">
      <selection activeCell="P38" sqref="P38"/>
    </sheetView>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787</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61"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7" t="s">
        <v>14</v>
      </c>
      <c r="B1" s="1257"/>
      <c r="C1" s="1257"/>
      <c r="D1" s="1257"/>
      <c r="E1" s="18"/>
      <c r="F1" s="19"/>
    </row>
    <row r="2" spans="1:10" ht="33.6" customHeight="1" thickBot="1">
      <c r="A2" s="1264" t="s">
        <v>15</v>
      </c>
      <c r="B2" s="1264"/>
      <c r="C2" s="1264"/>
      <c r="D2" s="1264"/>
      <c r="E2" s="19"/>
    </row>
    <row r="3" spans="1:10" ht="25.35" customHeight="1" thickBot="1">
      <c r="A3" s="77"/>
      <c r="B3" s="78" t="s">
        <v>749</v>
      </c>
      <c r="C3" s="79"/>
      <c r="D3" s="88"/>
      <c r="E3" s="87"/>
      <c r="F3" s="25"/>
    </row>
    <row r="4" spans="1:10" ht="25.35" customHeight="1" thickBot="1">
      <c r="A4" s="77">
        <v>1</v>
      </c>
      <c r="B4" s="64">
        <v>2</v>
      </c>
      <c r="C4" s="64">
        <v>3</v>
      </c>
      <c r="D4" s="64">
        <v>4</v>
      </c>
      <c r="E4" s="68"/>
      <c r="F4" s="25"/>
    </row>
    <row r="5" spans="1:10" ht="44.1" customHeight="1">
      <c r="A5" s="771" t="s">
        <v>16</v>
      </c>
      <c r="B5" s="1267" t="s">
        <v>788</v>
      </c>
      <c r="C5" s="1268"/>
      <c r="D5" s="1269"/>
      <c r="E5" s="732"/>
      <c r="F5" s="22"/>
    </row>
    <row r="6" spans="1:10" ht="89.1" customHeight="1" thickBot="1">
      <c r="A6" s="528" t="s">
        <v>17</v>
      </c>
      <c r="B6" s="76" t="s">
        <v>18</v>
      </c>
      <c r="C6" s="92" t="s">
        <v>19</v>
      </c>
      <c r="D6" s="91" t="s">
        <v>20</v>
      </c>
      <c r="E6" s="25"/>
      <c r="F6" s="22"/>
    </row>
    <row r="7" spans="1:10" ht="25.35" customHeight="1">
      <c r="A7" s="527" t="s">
        <v>21</v>
      </c>
      <c r="B7" s="1162">
        <v>37906780</v>
      </c>
      <c r="C7" s="1163">
        <v>7485794</v>
      </c>
      <c r="D7" s="98">
        <f t="shared" ref="D7:D34" si="0">SUM(B7:C7)</f>
        <v>45392574</v>
      </c>
      <c r="E7" s="561"/>
      <c r="F7" s="562"/>
      <c r="G7" s="59"/>
      <c r="I7" s="59"/>
      <c r="J7" s="59"/>
    </row>
    <row r="8" spans="1:10" ht="25.35" customHeight="1">
      <c r="A8" s="504" t="s">
        <v>22</v>
      </c>
      <c r="B8" s="1164">
        <v>77191852</v>
      </c>
      <c r="C8" s="1165">
        <v>14953668</v>
      </c>
      <c r="D8" s="89">
        <f t="shared" si="0"/>
        <v>92145520</v>
      </c>
      <c r="E8" s="532"/>
      <c r="F8" s="59"/>
      <c r="G8" s="59"/>
      <c r="I8" s="59"/>
      <c r="J8" s="59"/>
    </row>
    <row r="9" spans="1:10" ht="25.35" customHeight="1">
      <c r="A9" s="504" t="s">
        <v>23</v>
      </c>
      <c r="B9" s="1164">
        <v>25137727</v>
      </c>
      <c r="C9" s="1165">
        <v>4147257</v>
      </c>
      <c r="D9" s="89">
        <f t="shared" si="0"/>
        <v>29284984</v>
      </c>
      <c r="E9" s="532"/>
      <c r="F9" s="59"/>
      <c r="G9" s="59"/>
      <c r="I9" s="59"/>
      <c r="J9" s="59"/>
    </row>
    <row r="10" spans="1:10" ht="25.35" customHeight="1">
      <c r="A10" s="504" t="s">
        <v>24</v>
      </c>
      <c r="B10" s="1164">
        <v>10122783</v>
      </c>
      <c r="C10" s="1165">
        <v>2430298</v>
      </c>
      <c r="D10" s="89">
        <f t="shared" si="0"/>
        <v>12553081</v>
      </c>
      <c r="E10" s="532"/>
      <c r="F10" s="59"/>
      <c r="G10" s="59"/>
      <c r="I10" s="59"/>
      <c r="J10" s="59"/>
    </row>
    <row r="11" spans="1:10" ht="25.35" customHeight="1">
      <c r="A11" s="504" t="s">
        <v>25</v>
      </c>
      <c r="B11" s="1164">
        <v>43084116</v>
      </c>
      <c r="C11" s="1165">
        <v>9117159</v>
      </c>
      <c r="D11" s="89">
        <f t="shared" si="0"/>
        <v>52201275</v>
      </c>
      <c r="E11" s="532"/>
      <c r="F11" s="59"/>
      <c r="G11" s="59"/>
      <c r="I11" s="59"/>
      <c r="J11" s="59"/>
    </row>
    <row r="12" spans="1:10" ht="25.35" customHeight="1">
      <c r="A12" s="504" t="s">
        <v>26</v>
      </c>
      <c r="B12" s="1164">
        <v>31271582</v>
      </c>
      <c r="C12" s="1165">
        <v>5649896</v>
      </c>
      <c r="D12" s="89">
        <f t="shared" si="0"/>
        <v>36921478</v>
      </c>
      <c r="E12" s="532"/>
      <c r="F12" s="59"/>
      <c r="G12" s="59"/>
      <c r="I12" s="59"/>
      <c r="J12" s="59"/>
    </row>
    <row r="13" spans="1:10" ht="25.35" customHeight="1">
      <c r="A13" s="504" t="s">
        <v>27</v>
      </c>
      <c r="B13" s="1164">
        <v>65269763</v>
      </c>
      <c r="C13" s="1165">
        <v>13606923</v>
      </c>
      <c r="D13" s="89">
        <f t="shared" si="0"/>
        <v>78876686</v>
      </c>
      <c r="E13" s="532"/>
      <c r="F13" s="59"/>
      <c r="G13" s="59"/>
      <c r="I13" s="59"/>
      <c r="J13" s="59"/>
    </row>
    <row r="14" spans="1:10" ht="25.35" customHeight="1">
      <c r="A14" s="504" t="s">
        <v>28</v>
      </c>
      <c r="B14" s="1164">
        <v>7306183</v>
      </c>
      <c r="C14" s="1165">
        <v>1168674</v>
      </c>
      <c r="D14" s="89">
        <f t="shared" si="0"/>
        <v>8474857</v>
      </c>
      <c r="E14" s="532"/>
      <c r="F14" s="59"/>
      <c r="G14" s="59"/>
      <c r="I14" s="59"/>
      <c r="J14" s="59"/>
    </row>
    <row r="15" spans="1:10" ht="25.35" customHeight="1">
      <c r="A15" s="504" t="s">
        <v>29</v>
      </c>
      <c r="B15" s="1164">
        <v>20724248</v>
      </c>
      <c r="C15" s="1165">
        <v>3791300</v>
      </c>
      <c r="D15" s="89">
        <f t="shared" si="0"/>
        <v>24515548</v>
      </c>
      <c r="E15" s="532"/>
      <c r="F15" s="59"/>
      <c r="G15" s="59"/>
      <c r="I15" s="59"/>
      <c r="J15" s="59"/>
    </row>
    <row r="16" spans="1:10" ht="25.35" customHeight="1">
      <c r="A16" s="504" t="s">
        <v>30</v>
      </c>
      <c r="B16" s="1164">
        <v>61643784</v>
      </c>
      <c r="C16" s="1165">
        <v>9784781</v>
      </c>
      <c r="D16" s="89">
        <f t="shared" si="0"/>
        <v>71428565</v>
      </c>
      <c r="E16" s="532"/>
      <c r="F16" s="59"/>
      <c r="G16" s="59"/>
      <c r="I16" s="59"/>
      <c r="J16" s="59"/>
    </row>
    <row r="17" spans="1:10" ht="25.35" customHeight="1">
      <c r="A17" s="504" t="s">
        <v>31</v>
      </c>
      <c r="B17" s="1164">
        <v>43222200</v>
      </c>
      <c r="C17" s="1165">
        <v>8200771</v>
      </c>
      <c r="D17" s="89">
        <f t="shared" si="0"/>
        <v>51422971</v>
      </c>
      <c r="E17" s="532"/>
      <c r="F17" s="59"/>
      <c r="G17" s="59"/>
      <c r="I17" s="59"/>
      <c r="J17" s="59"/>
    </row>
    <row r="18" spans="1:10" ht="25.35" customHeight="1">
      <c r="A18" s="504" t="s">
        <v>32</v>
      </c>
      <c r="B18" s="1164">
        <v>12343150</v>
      </c>
      <c r="C18" s="1165">
        <v>2397283</v>
      </c>
      <c r="D18" s="89">
        <f t="shared" si="0"/>
        <v>14740433</v>
      </c>
      <c r="E18" s="532"/>
      <c r="F18" s="59"/>
      <c r="G18" s="59"/>
      <c r="I18" s="59"/>
      <c r="J18" s="59"/>
    </row>
    <row r="19" spans="1:10" ht="25.35" customHeight="1">
      <c r="A19" s="504" t="s">
        <v>33</v>
      </c>
      <c r="B19" s="1164">
        <v>13071677</v>
      </c>
      <c r="C19" s="1165">
        <v>2317578</v>
      </c>
      <c r="D19" s="89">
        <f t="shared" si="0"/>
        <v>15389255</v>
      </c>
      <c r="E19" s="532"/>
      <c r="F19" s="59"/>
      <c r="G19" s="59"/>
      <c r="I19" s="59"/>
      <c r="J19" s="59"/>
    </row>
    <row r="20" spans="1:10" ht="25.35" customHeight="1">
      <c r="A20" s="504" t="s">
        <v>34</v>
      </c>
      <c r="B20" s="1164">
        <v>22363091</v>
      </c>
      <c r="C20" s="1165">
        <v>3901568</v>
      </c>
      <c r="D20" s="89">
        <f t="shared" si="0"/>
        <v>26264659</v>
      </c>
      <c r="E20" s="532"/>
      <c r="F20" s="59"/>
      <c r="G20" s="59"/>
      <c r="I20" s="59"/>
      <c r="J20" s="59"/>
    </row>
    <row r="21" spans="1:10" ht="25.35" customHeight="1">
      <c r="A21" s="504" t="s">
        <v>35</v>
      </c>
      <c r="B21" s="1164">
        <v>148245620</v>
      </c>
      <c r="C21" s="1165">
        <v>30660327</v>
      </c>
      <c r="D21" s="89">
        <f t="shared" si="0"/>
        <v>178905947</v>
      </c>
      <c r="E21" s="532"/>
      <c r="F21" s="59"/>
      <c r="G21" s="59"/>
      <c r="I21" s="59"/>
      <c r="J21" s="59"/>
    </row>
    <row r="22" spans="1:10" ht="25.35" customHeight="1">
      <c r="A22" s="504" t="s">
        <v>36</v>
      </c>
      <c r="B22" s="1164">
        <v>6918250</v>
      </c>
      <c r="C22" s="1165">
        <v>1263365</v>
      </c>
      <c r="D22" s="89">
        <f t="shared" si="0"/>
        <v>8181615</v>
      </c>
      <c r="E22" s="532"/>
      <c r="F22" s="59"/>
      <c r="G22" s="59"/>
      <c r="I22" s="59"/>
      <c r="J22" s="59"/>
    </row>
    <row r="23" spans="1:10" ht="25.35" customHeight="1">
      <c r="A23" s="504" t="s">
        <v>37</v>
      </c>
      <c r="B23" s="1164">
        <v>17140914</v>
      </c>
      <c r="C23" s="1165">
        <v>3384175</v>
      </c>
      <c r="D23" s="89">
        <f t="shared" si="0"/>
        <v>20525089</v>
      </c>
      <c r="E23" s="532"/>
      <c r="F23" s="59"/>
      <c r="G23" s="59"/>
      <c r="I23" s="59"/>
      <c r="J23" s="59"/>
    </row>
    <row r="24" spans="1:10" ht="25.35" customHeight="1">
      <c r="A24" s="504" t="s">
        <v>38</v>
      </c>
      <c r="B24" s="1164">
        <v>58017036</v>
      </c>
      <c r="C24" s="1165">
        <v>9949475</v>
      </c>
      <c r="D24" s="89">
        <f t="shared" si="0"/>
        <v>67966511</v>
      </c>
      <c r="E24" s="532"/>
      <c r="F24" s="59"/>
      <c r="G24" s="59"/>
      <c r="I24" s="59"/>
      <c r="J24" s="59"/>
    </row>
    <row r="25" spans="1:10" ht="25.35" customHeight="1">
      <c r="A25" s="504" t="s">
        <v>39</v>
      </c>
      <c r="B25" s="1164">
        <v>33552231</v>
      </c>
      <c r="C25" s="1165">
        <v>4621140</v>
      </c>
      <c r="D25" s="89">
        <f t="shared" si="0"/>
        <v>38173371</v>
      </c>
      <c r="E25" s="532"/>
      <c r="F25" s="59"/>
      <c r="G25" s="59"/>
      <c r="I25" s="59"/>
      <c r="J25" s="59"/>
    </row>
    <row r="26" spans="1:10" ht="25.35" customHeight="1">
      <c r="A26" s="504" t="s">
        <v>40</v>
      </c>
      <c r="B26" s="1164">
        <v>32146954</v>
      </c>
      <c r="C26" s="1165">
        <v>6062173</v>
      </c>
      <c r="D26" s="89">
        <f t="shared" si="0"/>
        <v>38209127</v>
      </c>
      <c r="E26" s="532"/>
      <c r="F26" s="59"/>
      <c r="G26" s="59"/>
      <c r="I26" s="59"/>
      <c r="J26" s="59"/>
    </row>
    <row r="27" spans="1:10" ht="25.35" customHeight="1">
      <c r="A27" s="504" t="s">
        <v>41</v>
      </c>
      <c r="B27" s="1164">
        <v>34006344</v>
      </c>
      <c r="C27" s="1165">
        <v>4660748</v>
      </c>
      <c r="D27" s="89">
        <f t="shared" si="0"/>
        <v>38667092</v>
      </c>
      <c r="E27" s="532"/>
      <c r="F27" s="59"/>
      <c r="G27" s="59"/>
      <c r="I27" s="59"/>
      <c r="J27" s="59"/>
    </row>
    <row r="28" spans="1:10" ht="25.35" customHeight="1">
      <c r="A28" s="504" t="s">
        <v>42</v>
      </c>
      <c r="B28" s="1164">
        <v>21776932</v>
      </c>
      <c r="C28" s="1165">
        <v>3236588</v>
      </c>
      <c r="D28" s="89">
        <f t="shared" si="0"/>
        <v>25013520</v>
      </c>
      <c r="E28" s="532"/>
      <c r="F28" s="59"/>
      <c r="G28" s="59"/>
      <c r="I28" s="59"/>
      <c r="J28" s="59"/>
    </row>
    <row r="29" spans="1:10" ht="25.35" customHeight="1">
      <c r="A29" s="504" t="s">
        <v>43</v>
      </c>
      <c r="B29" s="1164">
        <v>66706554</v>
      </c>
      <c r="C29" s="1165">
        <v>12104813</v>
      </c>
      <c r="D29" s="89">
        <f t="shared" si="0"/>
        <v>78811367</v>
      </c>
      <c r="E29" s="532"/>
      <c r="F29" s="59"/>
      <c r="G29" s="59"/>
      <c r="I29" s="59"/>
      <c r="J29" s="59"/>
    </row>
    <row r="30" spans="1:10" ht="25.35" customHeight="1">
      <c r="A30" s="504" t="s">
        <v>44</v>
      </c>
      <c r="B30" s="1164">
        <v>38518774</v>
      </c>
      <c r="C30" s="1165">
        <v>5933828</v>
      </c>
      <c r="D30" s="89">
        <f t="shared" si="0"/>
        <v>44452602</v>
      </c>
      <c r="E30" s="532"/>
      <c r="F30" s="59"/>
      <c r="G30" s="59"/>
      <c r="I30" s="59"/>
      <c r="J30" s="59"/>
    </row>
    <row r="31" spans="1:10" ht="25.35" customHeight="1">
      <c r="A31" s="504" t="s">
        <v>45</v>
      </c>
      <c r="B31" s="1164">
        <v>40112438</v>
      </c>
      <c r="C31" s="1165">
        <v>6458496</v>
      </c>
      <c r="D31" s="89">
        <f t="shared" si="0"/>
        <v>46570934</v>
      </c>
      <c r="E31" s="532"/>
      <c r="F31" s="59"/>
      <c r="G31" s="59"/>
      <c r="I31" s="59"/>
      <c r="J31" s="59"/>
    </row>
    <row r="32" spans="1:10" ht="25.35" customHeight="1">
      <c r="A32" s="504" t="s">
        <v>46</v>
      </c>
      <c r="B32" s="1164">
        <v>17437031</v>
      </c>
      <c r="C32" s="1165">
        <v>2799758</v>
      </c>
      <c r="D32" s="89">
        <f t="shared" si="0"/>
        <v>20236789</v>
      </c>
      <c r="E32" s="532"/>
      <c r="F32" s="59"/>
      <c r="G32" s="59"/>
      <c r="I32" s="59" t="s">
        <v>47</v>
      </c>
      <c r="J32" s="59"/>
    </row>
    <row r="33" spans="1:21" ht="25.35" customHeight="1">
      <c r="A33" s="504" t="s">
        <v>48</v>
      </c>
      <c r="B33" s="1164">
        <v>29269153</v>
      </c>
      <c r="C33" s="1165">
        <v>5576841</v>
      </c>
      <c r="D33" s="89">
        <f t="shared" si="0"/>
        <v>34845994</v>
      </c>
      <c r="E33" s="532"/>
      <c r="F33" s="59"/>
      <c r="G33" s="59"/>
      <c r="I33" s="532"/>
      <c r="J33" s="59"/>
      <c r="K33" s="532"/>
    </row>
    <row r="34" spans="1:21" ht="25.35" customHeight="1">
      <c r="A34" s="505" t="s">
        <v>49</v>
      </c>
      <c r="B34" s="1164">
        <v>84933611</v>
      </c>
      <c r="C34" s="1165">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291" t="s">
        <v>51</v>
      </c>
      <c r="B36" s="1291"/>
      <c r="C36" s="1291"/>
      <c r="D36" s="1291"/>
      <c r="E36" s="611"/>
      <c r="F36" s="24"/>
      <c r="K36" s="532"/>
    </row>
    <row r="37" spans="1:21" ht="44.45" customHeight="1">
      <c r="A37" s="1290" t="s">
        <v>750</v>
      </c>
      <c r="B37" s="1290"/>
      <c r="C37" s="1290"/>
      <c r="D37" s="1290"/>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751</v>
      </c>
      <c r="B40" s="1158" t="s">
        <v>761</v>
      </c>
      <c r="C40" s="1159"/>
      <c r="D40" s="1159"/>
      <c r="E40" s="1160"/>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70" t="str">
        <f>A10</f>
        <v>Chipola College</v>
      </c>
      <c r="B43" s="791" t="s">
        <v>56</v>
      </c>
      <c r="C43" s="792">
        <v>200000</v>
      </c>
      <c r="D43" s="792"/>
      <c r="E43" s="793">
        <f t="shared" ref="E43:E56" si="1">C43+D43</f>
        <v>200000</v>
      </c>
    </row>
    <row r="44" spans="1:21" ht="42">
      <c r="A44" s="1171" t="str">
        <f>A11</f>
        <v>Daytona State College</v>
      </c>
      <c r="B44" s="794" t="s">
        <v>57</v>
      </c>
      <c r="C44" s="792">
        <v>500000</v>
      </c>
      <c r="D44" s="792"/>
      <c r="E44" s="793">
        <f t="shared" si="1"/>
        <v>500000</v>
      </c>
      <c r="H44" s="24"/>
    </row>
    <row r="45" spans="1:21" ht="43.35" customHeight="1">
      <c r="A45" s="1169" t="s">
        <v>25</v>
      </c>
      <c r="B45" s="794" t="s">
        <v>58</v>
      </c>
      <c r="C45" s="792"/>
      <c r="D45" s="792">
        <v>200000</v>
      </c>
      <c r="E45" s="793">
        <f t="shared" si="1"/>
        <v>200000</v>
      </c>
      <c r="H45" s="24"/>
    </row>
    <row r="46" spans="1:21" ht="62.45" customHeight="1">
      <c r="A46" s="1169" t="s">
        <v>30</v>
      </c>
      <c r="B46" s="794" t="s">
        <v>59</v>
      </c>
      <c r="C46" s="792">
        <v>2500000</v>
      </c>
      <c r="D46" s="792"/>
      <c r="E46" s="793">
        <f t="shared" si="1"/>
        <v>2500000</v>
      </c>
      <c r="H46" s="24"/>
    </row>
    <row r="47" spans="1:21">
      <c r="A47" s="1169" t="str">
        <f>A25</f>
        <v>Pasco-Hernando State College</v>
      </c>
      <c r="B47" s="794" t="s">
        <v>61</v>
      </c>
      <c r="C47" s="792">
        <v>2306271</v>
      </c>
      <c r="D47" s="792"/>
      <c r="E47" s="793">
        <f>C47+D47</f>
        <v>2306271</v>
      </c>
      <c r="H47" s="24"/>
    </row>
    <row r="48" spans="1:21" ht="63">
      <c r="A48" s="1169" t="s">
        <v>39</v>
      </c>
      <c r="B48" s="1172" t="s">
        <v>754</v>
      </c>
      <c r="C48" s="1167"/>
      <c r="D48" s="1167">
        <v>1000000</v>
      </c>
      <c r="E48" s="793">
        <f t="shared" ref="E48:E51" si="2">C48+D48</f>
        <v>1000000</v>
      </c>
      <c r="H48" s="24"/>
    </row>
    <row r="49" spans="1:8" ht="42">
      <c r="A49" s="1173" t="s">
        <v>43</v>
      </c>
      <c r="B49" s="794" t="s">
        <v>755</v>
      </c>
      <c r="C49" s="792"/>
      <c r="D49" s="792">
        <v>510000</v>
      </c>
      <c r="E49" s="793">
        <f t="shared" si="2"/>
        <v>510000</v>
      </c>
      <c r="H49" s="24"/>
    </row>
    <row r="50" spans="1:8" ht="42">
      <c r="A50" s="1173" t="s">
        <v>43</v>
      </c>
      <c r="B50" s="794" t="s">
        <v>756</v>
      </c>
      <c r="C50" s="792"/>
      <c r="D50" s="792">
        <v>674484</v>
      </c>
      <c r="E50" s="793">
        <f t="shared" si="2"/>
        <v>674484</v>
      </c>
      <c r="H50" s="24"/>
    </row>
    <row r="51" spans="1:8" ht="42">
      <c r="A51" s="1173" t="s">
        <v>759</v>
      </c>
      <c r="B51" s="794" t="s">
        <v>757</v>
      </c>
      <c r="C51" s="792"/>
      <c r="D51" s="792">
        <v>250000</v>
      </c>
      <c r="E51" s="793">
        <f t="shared" si="2"/>
        <v>250000</v>
      </c>
      <c r="H51" s="24"/>
    </row>
    <row r="52" spans="1:8" ht="62.45" customHeight="1">
      <c r="A52" s="1173" t="s">
        <v>46</v>
      </c>
      <c r="B52" s="744" t="s">
        <v>738</v>
      </c>
      <c r="C52" s="745"/>
      <c r="D52" s="745">
        <v>1000000</v>
      </c>
      <c r="E52" s="793">
        <f t="shared" si="1"/>
        <v>1000000</v>
      </c>
      <c r="H52" s="24"/>
    </row>
    <row r="53" spans="1:8" ht="62.45" customHeight="1">
      <c r="A53" s="1173" t="s">
        <v>760</v>
      </c>
      <c r="B53" s="1166" t="s">
        <v>60</v>
      </c>
      <c r="C53" s="1167"/>
      <c r="D53" s="1167">
        <v>250000</v>
      </c>
      <c r="E53" s="1168">
        <f t="shared" si="1"/>
        <v>250000</v>
      </c>
      <c r="H53" s="24"/>
    </row>
    <row r="54" spans="1:8" ht="86.25" customHeight="1" thickBot="1">
      <c r="A54" s="1173" t="s">
        <v>62</v>
      </c>
      <c r="B54" s="795" t="s">
        <v>63</v>
      </c>
      <c r="C54" s="796"/>
      <c r="D54" s="796">
        <v>50000</v>
      </c>
      <c r="E54" s="793">
        <f t="shared" si="1"/>
        <v>50000</v>
      </c>
      <c r="H54" s="24"/>
    </row>
    <row r="55" spans="1:8" ht="86.25" customHeight="1" thickBot="1">
      <c r="A55" s="1173" t="s">
        <v>62</v>
      </c>
      <c r="B55" s="734" t="s">
        <v>64</v>
      </c>
      <c r="C55" s="735"/>
      <c r="D55" s="735">
        <v>500000</v>
      </c>
      <c r="E55" s="1175">
        <f t="shared" si="1"/>
        <v>500000</v>
      </c>
      <c r="H55" s="24"/>
    </row>
    <row r="56" spans="1:8" ht="86.25" customHeight="1" thickBot="1">
      <c r="A56" s="1174" t="s">
        <v>49</v>
      </c>
      <c r="B56" s="734" t="s">
        <v>758</v>
      </c>
      <c r="C56" s="735"/>
      <c r="D56" s="735">
        <v>1000000</v>
      </c>
      <c r="E56" s="1176">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743</v>
      </c>
      <c r="B61" s="508" t="str">
        <f>B3</f>
        <v>Date Updated:   05.5.21    BY:  EN</v>
      </c>
      <c r="C61" s="53" t="s">
        <v>10</v>
      </c>
      <c r="D61" s="53"/>
      <c r="F61" s="24"/>
      <c r="G61" s="24"/>
      <c r="H61" s="24"/>
    </row>
    <row r="62" spans="1:8" ht="45" customHeight="1" thickBot="1">
      <c r="A62" s="1283" t="s">
        <v>762</v>
      </c>
      <c r="B62" s="1284"/>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752</v>
      </c>
      <c r="B69" s="1287" t="str">
        <f>B3</f>
        <v>Date Updated:   05.5.21    BY:  EN</v>
      </c>
      <c r="C69" s="1288"/>
      <c r="D69" s="1288"/>
      <c r="E69" s="1289"/>
      <c r="F69" s="21"/>
      <c r="G69" s="53"/>
      <c r="H69" s="24"/>
    </row>
    <row r="70" spans="1:13" ht="87.6" customHeight="1" thickBot="1">
      <c r="A70" s="50" t="s">
        <v>17</v>
      </c>
      <c r="B70" s="30" t="s">
        <v>753</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265" t="s">
        <v>767</v>
      </c>
      <c r="B102" s="1265"/>
      <c r="C102" s="1265"/>
      <c r="D102" s="1265"/>
      <c r="E102" s="1265"/>
      <c r="F102" s="1265"/>
      <c r="G102" s="1265"/>
      <c r="H102" s="1265"/>
      <c r="I102" s="1265"/>
      <c r="J102" s="1265"/>
      <c r="K102" s="1265"/>
      <c r="L102" s="1265"/>
      <c r="M102" s="1265"/>
      <c r="N102" s="1265"/>
      <c r="O102" s="1265"/>
      <c r="P102" s="1265"/>
      <c r="Q102" s="1265"/>
      <c r="R102" s="1265"/>
    </row>
    <row r="103" spans="1:54" ht="20.100000000000001" customHeight="1">
      <c r="A103" s="1263" t="s">
        <v>72</v>
      </c>
      <c r="B103" s="1263"/>
      <c r="C103" s="1263"/>
      <c r="D103" s="1263"/>
      <c r="E103" s="1263"/>
      <c r="F103" s="1263"/>
      <c r="G103" s="1263"/>
      <c r="H103" s="1263"/>
      <c r="I103" s="1263"/>
      <c r="J103" s="1263"/>
      <c r="K103" s="1263"/>
      <c r="L103" s="1263"/>
      <c r="M103" s="1263"/>
      <c r="N103" s="1263"/>
      <c r="O103" s="1263"/>
      <c r="P103" s="1263"/>
      <c r="Q103" s="1263"/>
      <c r="R103" s="1263"/>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263" t="s">
        <v>74</v>
      </c>
      <c r="B105" s="1263"/>
      <c r="C105" s="1263"/>
      <c r="D105" s="1263"/>
      <c r="E105" s="1263"/>
      <c r="F105" s="1263"/>
      <c r="G105" s="1263"/>
      <c r="H105" s="1263"/>
      <c r="I105" s="1263"/>
      <c r="J105" s="1263"/>
      <c r="K105" s="1263"/>
      <c r="L105" s="1263"/>
      <c r="M105" s="1263"/>
      <c r="N105" s="1263"/>
      <c r="O105" s="1263"/>
      <c r="P105" s="1263"/>
      <c r="Q105" s="1263"/>
      <c r="R105" s="1263"/>
    </row>
    <row r="106" spans="1:54" ht="20.100000000000001" customHeight="1">
      <c r="A106" s="1263"/>
      <c r="B106" s="1263"/>
      <c r="C106" s="1263"/>
      <c r="D106" s="1263"/>
      <c r="E106" s="1263"/>
      <c r="F106" s="1263"/>
      <c r="G106" s="1263"/>
    </row>
    <row r="107" spans="1:54" ht="32.450000000000003" customHeight="1" thickBot="1">
      <c r="E107" s="603"/>
      <c r="F107" s="603"/>
      <c r="G107" s="603"/>
      <c r="H107" s="27"/>
      <c r="I107" s="27"/>
      <c r="J107" s="27"/>
      <c r="K107" s="27"/>
    </row>
    <row r="108" spans="1:54" ht="43.35" customHeight="1" thickBot="1">
      <c r="A108" s="58" t="s">
        <v>763</v>
      </c>
      <c r="B108" s="1258" t="s">
        <v>766</v>
      </c>
      <c r="C108" s="1259"/>
      <c r="D108" s="1260"/>
      <c r="E108" s="1261" t="s">
        <v>75</v>
      </c>
      <c r="F108" s="1261"/>
      <c r="G108" s="1261"/>
      <c r="H108" s="1261"/>
      <c r="I108" s="1261"/>
      <c r="J108" s="1261"/>
      <c r="K108" s="1261"/>
      <c r="L108" s="1261"/>
      <c r="M108" s="1261"/>
      <c r="N108" s="1261"/>
      <c r="O108" s="1261"/>
      <c r="P108" s="1261"/>
      <c r="Q108" s="1261"/>
      <c r="R108" s="1261"/>
      <c r="S108" s="1262"/>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281" t="s">
        <v>76</v>
      </c>
      <c r="U109" s="38"/>
      <c r="V109" s="55">
        <v>20</v>
      </c>
      <c r="W109" s="773">
        <v>21</v>
      </c>
      <c r="X109" s="773">
        <v>22</v>
      </c>
      <c r="Y109" s="73"/>
      <c r="Z109" s="773">
        <v>23</v>
      </c>
      <c r="AA109" s="773">
        <v>24</v>
      </c>
      <c r="AB109" s="774">
        <v>25</v>
      </c>
      <c r="AC109" s="40"/>
      <c r="AD109" s="37"/>
    </row>
    <row r="110" spans="1:54" ht="29.45" customHeight="1" thickBot="1">
      <c r="A110" s="67" t="s">
        <v>77</v>
      </c>
      <c r="B110" s="1293" t="s">
        <v>78</v>
      </c>
      <c r="C110" s="1294"/>
      <c r="D110" s="1295"/>
      <c r="E110" s="39"/>
      <c r="F110" s="1297" t="s">
        <v>79</v>
      </c>
      <c r="G110" s="1297"/>
      <c r="H110" s="1297"/>
      <c r="I110" s="1297"/>
      <c r="J110" s="1297"/>
      <c r="K110" s="1297"/>
      <c r="L110" s="1297"/>
      <c r="M110" s="1297"/>
      <c r="N110" s="1297"/>
      <c r="O110" s="1297"/>
      <c r="P110" s="1297"/>
      <c r="Q110" s="1298" t="s">
        <v>80</v>
      </c>
      <c r="R110" s="1299"/>
      <c r="S110" s="1300"/>
      <c r="T110" s="1282"/>
      <c r="U110" s="41"/>
      <c r="V110" s="42"/>
      <c r="W110" s="43"/>
      <c r="X110" s="44"/>
      <c r="Y110" s="74"/>
      <c r="Z110" s="1303"/>
      <c r="AA110" s="1304"/>
      <c r="AB110" s="1305"/>
      <c r="AC110" s="22"/>
      <c r="AD110" s="733" t="s">
        <v>81</v>
      </c>
      <c r="AF110" s="36"/>
      <c r="AG110" s="37"/>
    </row>
    <row r="111" spans="1:54" ht="66" customHeight="1" thickBot="1">
      <c r="A111" s="45"/>
      <c r="B111" s="1273" t="s">
        <v>82</v>
      </c>
      <c r="C111" s="1274"/>
      <c r="D111" s="1275"/>
      <c r="E111" s="1273" t="s">
        <v>83</v>
      </c>
      <c r="F111" s="1274"/>
      <c r="G111" s="1275"/>
      <c r="H111" s="1273" t="s">
        <v>84</v>
      </c>
      <c r="I111" s="1274"/>
      <c r="J111" s="1275"/>
      <c r="K111" s="1276" t="s">
        <v>85</v>
      </c>
      <c r="L111" s="1276"/>
      <c r="M111" s="1276"/>
      <c r="N111" s="1277" t="s">
        <v>86</v>
      </c>
      <c r="O111" s="1278"/>
      <c r="P111" s="1279"/>
      <c r="Q111" s="1277" t="s">
        <v>87</v>
      </c>
      <c r="R111" s="1278"/>
      <c r="S111" s="1279"/>
      <c r="T111" s="1301" t="s">
        <v>88</v>
      </c>
      <c r="U111" s="26"/>
      <c r="V111" s="1270" t="s">
        <v>89</v>
      </c>
      <c r="W111" s="1271"/>
      <c r="X111" s="1280"/>
      <c r="Y111" s="69"/>
      <c r="Z111" s="1270" t="s">
        <v>90</v>
      </c>
      <c r="AA111" s="1271"/>
      <c r="AB111" s="1272"/>
      <c r="AC111" s="27"/>
      <c r="AD111" s="54" t="s">
        <v>91</v>
      </c>
      <c r="AF111" s="22"/>
      <c r="AG111" s="24"/>
      <c r="AI111" s="1306" t="s">
        <v>92</v>
      </c>
      <c r="AJ111" s="1306"/>
      <c r="AK111" s="1306"/>
      <c r="AL111" s="1306"/>
      <c r="AM111" s="1306"/>
      <c r="AN111" s="1306"/>
      <c r="AO111" s="1306"/>
      <c r="AP111" s="27"/>
      <c r="AS111" s="27"/>
      <c r="AT111" s="27"/>
    </row>
    <row r="112" spans="1:54" ht="87" customHeight="1" thickBot="1">
      <c r="A112" s="50" t="s">
        <v>17</v>
      </c>
      <c r="B112" s="1186" t="s">
        <v>93</v>
      </c>
      <c r="C112" s="498"/>
      <c r="D112" s="708" t="s">
        <v>55</v>
      </c>
      <c r="E112" s="1185" t="s">
        <v>93</v>
      </c>
      <c r="F112" s="1184" t="s">
        <v>94</v>
      </c>
      <c r="G112" s="68" t="s">
        <v>55</v>
      </c>
      <c r="H112" s="1187" t="s">
        <v>93</v>
      </c>
      <c r="I112" s="1188" t="s">
        <v>94</v>
      </c>
      <c r="J112" s="71" t="s">
        <v>55</v>
      </c>
      <c r="K112" s="1189" t="s">
        <v>93</v>
      </c>
      <c r="L112" s="1190" t="s">
        <v>94</v>
      </c>
      <c r="M112" s="746" t="s">
        <v>55</v>
      </c>
      <c r="N112" s="1191" t="s">
        <v>93</v>
      </c>
      <c r="O112" s="1190" t="s">
        <v>94</v>
      </c>
      <c r="P112" s="677" t="s">
        <v>55</v>
      </c>
      <c r="Q112" s="1191" t="s">
        <v>93</v>
      </c>
      <c r="R112" s="1184" t="s">
        <v>94</v>
      </c>
      <c r="S112" s="71" t="s">
        <v>55</v>
      </c>
      <c r="T112" s="1302"/>
      <c r="V112" s="1192" t="s">
        <v>93</v>
      </c>
      <c r="W112" s="1193" t="s">
        <v>94</v>
      </c>
      <c r="X112" s="801" t="s">
        <v>55</v>
      </c>
      <c r="Y112" s="70"/>
      <c r="Z112" s="46" t="s">
        <v>93</v>
      </c>
      <c r="AA112" s="1194" t="s">
        <v>94</v>
      </c>
      <c r="AB112" s="97" t="s">
        <v>55</v>
      </c>
      <c r="AD112" s="50" t="s">
        <v>17</v>
      </c>
      <c r="AE112" s="1195" t="s">
        <v>95</v>
      </c>
      <c r="AF112" s="1196"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77">
        <f t="shared" ref="D113:D140" si="9">B113+C113</f>
        <v>1066</v>
      </c>
      <c r="E113" s="1182">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96" t="s">
        <v>98</v>
      </c>
      <c r="AJ113" s="1296"/>
      <c r="AK113" s="1296"/>
      <c r="AL113" s="1296"/>
      <c r="AM113" s="1296"/>
      <c r="AN113" s="1296"/>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78">
        <f t="shared" si="9"/>
        <v>1427</v>
      </c>
      <c r="E114" s="1181">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96" t="s">
        <v>99</v>
      </c>
      <c r="AJ114" s="1296"/>
      <c r="AK114" s="1296"/>
      <c r="AL114" s="1296"/>
      <c r="AM114" s="1296"/>
      <c r="AN114" s="1296"/>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78">
        <f t="shared" si="9"/>
        <v>318</v>
      </c>
      <c r="E115" s="1181">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96" t="s">
        <v>100</v>
      </c>
      <c r="AJ115" s="1296"/>
      <c r="AK115" s="1296"/>
      <c r="AL115" s="1296"/>
      <c r="AM115" s="1296"/>
      <c r="AN115" s="1296"/>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78">
        <f t="shared" si="9"/>
        <v>156</v>
      </c>
      <c r="E116" s="1181">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78">
        <f t="shared" si="9"/>
        <v>1010</v>
      </c>
      <c r="E117" s="1181">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78">
        <f t="shared" si="9"/>
        <v>662</v>
      </c>
      <c r="E118" s="1181">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764</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78">
        <f t="shared" si="9"/>
        <v>1796</v>
      </c>
      <c r="E119" s="1181">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78">
        <f t="shared" si="9"/>
        <v>42</v>
      </c>
      <c r="E120" s="1181">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92" t="s">
        <v>101</v>
      </c>
      <c r="AJ120" s="1292"/>
      <c r="AK120" s="1292"/>
      <c r="AL120" s="1292"/>
      <c r="AM120" s="1292"/>
      <c r="AN120" s="1292"/>
      <c r="AO120" s="501">
        <f>AO118-AO119</f>
        <v>258733.91378968526</v>
      </c>
      <c r="AP120" s="27"/>
      <c r="AQ120" s="27"/>
      <c r="AR120" s="27"/>
      <c r="AS120" s="27"/>
      <c r="AT120" s="27"/>
      <c r="AU120" s="27"/>
    </row>
    <row r="121" spans="1:54" ht="25.35" customHeight="1">
      <c r="A121" s="810" t="str">
        <f t="shared" si="8"/>
        <v>Gulf Coast State College</v>
      </c>
      <c r="B121" s="767">
        <v>127</v>
      </c>
      <c r="C121" s="779"/>
      <c r="D121" s="1178">
        <f t="shared" si="9"/>
        <v>127</v>
      </c>
      <c r="E121" s="1181">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78">
        <f t="shared" si="9"/>
        <v>0</v>
      </c>
      <c r="E122" s="1181">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92" t="s">
        <v>765</v>
      </c>
      <c r="AJ122" s="1292"/>
      <c r="AK122" s="1292"/>
      <c r="AL122" s="1292"/>
      <c r="AM122" s="1292"/>
      <c r="AN122" s="1292"/>
      <c r="AO122" s="502">
        <f>AO116+AO120</f>
        <v>296925</v>
      </c>
      <c r="AP122" s="27"/>
      <c r="AQ122" s="27"/>
      <c r="AR122" s="27"/>
      <c r="AS122" s="27"/>
      <c r="AT122" s="27"/>
      <c r="AU122" s="27"/>
    </row>
    <row r="123" spans="1:54" ht="25.35" customHeight="1">
      <c r="A123" s="810" t="str">
        <f t="shared" si="8"/>
        <v>Indian River State College</v>
      </c>
      <c r="B123" s="767">
        <v>1504</v>
      </c>
      <c r="C123" s="779"/>
      <c r="D123" s="1178">
        <f t="shared" si="9"/>
        <v>1504</v>
      </c>
      <c r="E123" s="1181">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78">
        <f t="shared" si="9"/>
        <v>94</v>
      </c>
      <c r="E124" s="1181">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78">
        <f t="shared" si="9"/>
        <v>120</v>
      </c>
      <c r="E125" s="1181">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78">
        <f t="shared" si="9"/>
        <v>479</v>
      </c>
      <c r="E126" s="1181">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78">
        <f t="shared" si="9"/>
        <v>2515</v>
      </c>
      <c r="E127" s="1181">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78">
        <f t="shared" si="9"/>
        <v>44</v>
      </c>
      <c r="E128" s="1181">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78">
        <f t="shared" si="9"/>
        <v>326</v>
      </c>
      <c r="E129" s="1181">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78">
        <f t="shared" si="9"/>
        <v>908</v>
      </c>
      <c r="E130" s="1181">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78">
        <f t="shared" si="9"/>
        <v>360</v>
      </c>
      <c r="E131" s="1181">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78">
        <f t="shared" si="9"/>
        <v>428</v>
      </c>
      <c r="E132" s="1181">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78">
        <f t="shared" si="9"/>
        <v>670</v>
      </c>
      <c r="E133" s="1181">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78">
        <f t="shared" si="9"/>
        <v>240</v>
      </c>
      <c r="E134" s="1181">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78">
        <f t="shared" si="9"/>
        <v>2654</v>
      </c>
      <c r="E135" s="1181">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78">
        <f t="shared" si="9"/>
        <v>488</v>
      </c>
      <c r="E136" s="1181">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78">
        <f t="shared" si="9"/>
        <v>947</v>
      </c>
      <c r="E137" s="1181">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78">
        <f t="shared" si="9"/>
        <v>113</v>
      </c>
      <c r="E138" s="1181">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78">
        <f t="shared" si="9"/>
        <v>36</v>
      </c>
      <c r="E139" s="1181">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79">
        <f t="shared" si="9"/>
        <v>1130</v>
      </c>
      <c r="E140" s="1183">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80">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790</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286" t="s">
        <v>103</v>
      </c>
      <c r="B145" s="1286"/>
      <c r="C145" s="1286"/>
      <c r="D145" s="1286"/>
      <c r="E145" s="96"/>
    </row>
    <row r="146" spans="1:5">
      <c r="A146" s="1285" t="s">
        <v>104</v>
      </c>
      <c r="B146" s="1285"/>
      <c r="C146" s="1285"/>
      <c r="D146" s="1285"/>
    </row>
    <row r="147" spans="1:5">
      <c r="A147" s="1266" t="s">
        <v>105</v>
      </c>
      <c r="B147" s="1266"/>
      <c r="C147" s="1266"/>
      <c r="D147" s="1266"/>
      <c r="E147" s="1266"/>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1:D1"/>
    <mergeCell ref="B108:D108"/>
    <mergeCell ref="E108:S108"/>
    <mergeCell ref="A106:G106"/>
    <mergeCell ref="A2:D2"/>
    <mergeCell ref="A103:R103"/>
    <mergeCell ref="A102:R102"/>
    <mergeCell ref="A105:R105"/>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2" sqref="C2"/>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2" t="s">
        <v>11</v>
      </c>
      <c r="B1" s="1112"/>
      <c r="C1" s="1112"/>
      <c r="D1" s="1112"/>
      <c r="E1" s="1112"/>
      <c r="F1" s="1112"/>
      <c r="G1" s="1112"/>
      <c r="H1" s="1008"/>
      <c r="I1" s="1008"/>
    </row>
    <row r="2" spans="1:53" ht="20.100000000000001" customHeight="1">
      <c r="A2" s="1112" t="s">
        <v>742</v>
      </c>
      <c r="B2" s="1112"/>
      <c r="C2" s="1112"/>
      <c r="D2" s="1112"/>
      <c r="E2" s="1112"/>
      <c r="F2" s="1112"/>
      <c r="G2" s="1112"/>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2"/>
      <c r="B3" s="1112"/>
      <c r="C3" s="1112"/>
      <c r="D3" s="1112"/>
      <c r="E3" s="1112"/>
      <c r="F3" s="1112"/>
      <c r="G3" s="1112"/>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3" t="s">
        <v>106</v>
      </c>
      <c r="B4" s="1113"/>
      <c r="C4" s="1113"/>
      <c r="D4" s="1113"/>
      <c r="E4" s="1113"/>
      <c r="F4" s="1113"/>
      <c r="G4" s="1113"/>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26</v>
      </c>
      <c r="E7" s="1161"/>
      <c r="F7" s="1161"/>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14" t="s">
        <v>789</v>
      </c>
      <c r="D10" s="1114"/>
      <c r="E10" s="1114"/>
      <c r="F10" s="1114"/>
      <c r="G10" s="1114"/>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6.7941552967075713E-2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15" t="s">
        <v>113</v>
      </c>
      <c r="D18" s="1115"/>
      <c r="E18" s="1115"/>
      <c r="F18" s="1115"/>
      <c r="G18" s="1115"/>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743</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19860</v>
      </c>
      <c r="E44" s="140">
        <f>+'EXHIBIT C'!F10</f>
        <v>19712.997058503104</v>
      </c>
      <c r="F44" s="141">
        <f t="shared" ref="F44:F50" si="0">IF(D44=0,"0",(E44/D44-1))</f>
        <v>-7.4019608004479709E-3</v>
      </c>
      <c r="G44" s="142" t="str">
        <f t="shared" ref="G44:G50" si="1">IF(OR(F44&gt;3%, F44&lt;-3%),"YES","NO")</f>
        <v>NO</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209398.03073531316</v>
      </c>
      <c r="E45" s="144">
        <f>+'EXHIBIT C'!F11</f>
        <v>206218.98780938311</v>
      </c>
      <c r="F45" s="823">
        <f t="shared" si="0"/>
        <v>-1.5181818638726807E-2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21120.5634580859</v>
      </c>
      <c r="E46" s="827">
        <f>+'EXHIBIT C'!F12</f>
        <v>27856.002955301072</v>
      </c>
      <c r="F46" s="823">
        <f t="shared" si="0"/>
        <v>0.31890434696885617</v>
      </c>
      <c r="G46" s="824" t="str">
        <f t="shared" si="1"/>
        <v>YES</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968.70967741935476</v>
      </c>
      <c r="E47" s="827">
        <f>+'EXHIBIT C'!F13</f>
        <v>928.00222129668191</v>
      </c>
      <c r="F47" s="823">
        <f t="shared" si="0"/>
        <v>-4.2022348977784119E-2</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4261.4239742558329</v>
      </c>
      <c r="E48" s="827">
        <f>+'EXHIBIT C'!F14</f>
        <v>4680.0024627508928</v>
      </c>
      <c r="F48" s="823">
        <f t="shared" si="0"/>
        <v>9.8225027836652989E-2</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255608.72784507426</v>
      </c>
      <c r="E50" s="147">
        <f>+'EXHIBIT C'!F17</f>
        <v>259395.99250723486</v>
      </c>
      <c r="F50" s="148">
        <f t="shared" si="0"/>
        <v>1.4816648453632064E-2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16" t="s">
        <v>144</v>
      </c>
      <c r="D51" s="1117"/>
      <c r="E51" s="1117"/>
      <c r="F51" s="1117"/>
      <c r="G51" s="1118"/>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307" t="s">
        <v>794</v>
      </c>
      <c r="D53" s="1308"/>
      <c r="E53" s="1308"/>
      <c r="F53" s="1308"/>
      <c r="G53" s="1309"/>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310"/>
      <c r="D54" s="1311"/>
      <c r="E54" s="1311"/>
      <c r="F54" s="1311"/>
      <c r="G54" s="1312"/>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310"/>
      <c r="D55" s="1311"/>
      <c r="E55" s="1311"/>
      <c r="F55" s="1311"/>
      <c r="G55" s="1312"/>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310"/>
      <c r="D56" s="1311"/>
      <c r="E56" s="1311"/>
      <c r="F56" s="1311"/>
      <c r="G56" s="1312"/>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310"/>
      <c r="D57" s="1311"/>
      <c r="E57" s="1311"/>
      <c r="F57" s="1311"/>
      <c r="G57" s="1312"/>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310"/>
      <c r="D58" s="1311"/>
      <c r="E58" s="1311"/>
      <c r="F58" s="1311"/>
      <c r="G58" s="1312"/>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310"/>
      <c r="D59" s="1311"/>
      <c r="E59" s="1311"/>
      <c r="F59" s="1311"/>
      <c r="G59" s="1312"/>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310"/>
      <c r="D60" s="1311"/>
      <c r="E60" s="1311"/>
      <c r="F60" s="1311"/>
      <c r="G60" s="1312"/>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310"/>
      <c r="D61" s="1311"/>
      <c r="E61" s="1311"/>
      <c r="F61" s="1311"/>
      <c r="G61" s="1312"/>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313"/>
      <c r="D62" s="1314"/>
      <c r="E62" s="1314"/>
      <c r="F62" s="1314"/>
      <c r="G62" s="1315"/>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568.99943294030231</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7161.4077292179991</v>
      </c>
      <c r="E69" s="161">
        <f>+'EXHIBIT C'!D20</f>
        <v>11008.999548791993</v>
      </c>
      <c r="F69" s="834">
        <f t="shared" si="2"/>
        <v>0.53726752686851098</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303.42217925700868</v>
      </c>
      <c r="E70" s="837">
        <f>+'EXHIBIT C'!D21</f>
        <v>1021.9984412814308</v>
      </c>
      <c r="F70" s="834">
        <f t="shared" si="2"/>
        <v>2.3682390779210776</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21.29032258064516</v>
      </c>
      <c r="E71" s="837">
        <f>+'EXHIBIT C'!D22</f>
        <v>41.998333950388741</v>
      </c>
      <c r="F71" s="834">
        <f t="shared" si="2"/>
        <v>0.97264901888189548</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478.57602574416728</v>
      </c>
      <c r="E72" s="837">
        <f>+'EXHIBIT C'!D23</f>
        <v>542.99602116575738</v>
      </c>
      <c r="F72" s="834">
        <f t="shared" si="2"/>
        <v>0.13460765261155627</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7964.6962567998198</v>
      </c>
      <c r="E74" s="163">
        <f>SUM(E68:E73)</f>
        <v>13184.991778129872</v>
      </c>
      <c r="F74" s="164">
        <f t="shared" si="2"/>
        <v>0.65542932875478477</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16" t="s">
        <v>150</v>
      </c>
      <c r="D75" s="1117"/>
      <c r="E75" s="1117"/>
      <c r="F75" s="1117"/>
      <c r="G75" s="1118"/>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307" t="s">
        <v>795</v>
      </c>
      <c r="D77" s="1308"/>
      <c r="E77" s="1308"/>
      <c r="F77" s="1308"/>
      <c r="G77" s="1309"/>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310"/>
      <c r="D78" s="1311"/>
      <c r="E78" s="1311"/>
      <c r="F78" s="1311"/>
      <c r="G78" s="1312"/>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310"/>
      <c r="D79" s="1311"/>
      <c r="E79" s="1311"/>
      <c r="F79" s="1311"/>
      <c r="G79" s="1312"/>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310"/>
      <c r="D80" s="1311"/>
      <c r="E80" s="1311"/>
      <c r="F80" s="1311"/>
      <c r="G80" s="1312"/>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310"/>
      <c r="D81" s="1311"/>
      <c r="E81" s="1311"/>
      <c r="F81" s="1311"/>
      <c r="G81" s="1312"/>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310"/>
      <c r="D82" s="1311"/>
      <c r="E82" s="1311"/>
      <c r="F82" s="1311"/>
      <c r="G82" s="1312"/>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310"/>
      <c r="D83" s="1311"/>
      <c r="E83" s="1311"/>
      <c r="F83" s="1311"/>
      <c r="G83" s="1312"/>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310"/>
      <c r="D84" s="1311"/>
      <c r="E84" s="1311"/>
      <c r="F84" s="1311"/>
      <c r="G84" s="1312"/>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310"/>
      <c r="D85" s="1311"/>
      <c r="E85" s="1311"/>
      <c r="F85" s="1311"/>
      <c r="G85" s="1312"/>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313"/>
      <c r="D86" s="1314"/>
      <c r="E86" s="1314"/>
      <c r="F86" s="1314"/>
      <c r="G86" s="1315"/>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19" t="s">
        <v>160</v>
      </c>
      <c r="D99" s="1119"/>
      <c r="E99" s="1119"/>
      <c r="F99" s="1119"/>
      <c r="G99" s="1119"/>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31271582</v>
      </c>
      <c r="E102" s="846">
        <f>+'EXHIBIT D'!G75</f>
        <v>31271582</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702868</v>
      </c>
      <c r="E103" s="846">
        <f>'EXHIBIT D'!G77</f>
        <v>702868</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5649896</v>
      </c>
      <c r="E104" s="846">
        <f>'EXHIBIT D'!G81</f>
        <v>5649896</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37624346</v>
      </c>
      <c r="E106" s="179">
        <f t="shared" ref="E106:F106" si="4">SUM(E102:E104)</f>
        <v>37624346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20" t="s">
        <v>748</v>
      </c>
      <c r="D117" s="1120"/>
      <c r="E117" s="1120"/>
      <c r="F117" s="1120"/>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8138042</v>
      </c>
      <c r="D119" s="1002" t="s">
        <v>746</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8138042</v>
      </c>
      <c r="D120" s="1005" t="s">
        <v>747</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21" t="s">
        <v>174</v>
      </c>
      <c r="E121" s="1121"/>
      <c r="F121" s="1121"/>
      <c r="G121" s="1121"/>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14" t="s">
        <v>176</v>
      </c>
      <c r="D124" s="1114"/>
      <c r="E124" s="1114"/>
      <c r="F124" s="1114"/>
      <c r="G124" s="1114"/>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33116144</v>
      </c>
      <c r="D126" s="37" t="s">
        <v>744</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33116144</v>
      </c>
      <c r="D127" s="37" t="s">
        <v>745</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22" t="s">
        <v>179</v>
      </c>
      <c r="E132" s="1122"/>
      <c r="F132" s="1122"/>
      <c r="G132" s="1122"/>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23" t="s">
        <v>181</v>
      </c>
      <c r="D135" s="1123"/>
      <c r="E135" s="1123"/>
      <c r="F135" s="1123"/>
      <c r="G135" s="1123"/>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91.79</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511.40999999999997</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32"/>
      <c r="D141" s="1033"/>
      <c r="E141" s="1033"/>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24" t="s">
        <v>185</v>
      </c>
      <c r="E144" s="1124"/>
      <c r="F144" s="1124"/>
      <c r="G144" s="1124"/>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24" t="s">
        <v>186</v>
      </c>
      <c r="E147" s="1124"/>
      <c r="F147" s="1124"/>
      <c r="G147" s="1124"/>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31"/>
      <c r="E149" s="1031"/>
      <c r="F149" s="1031"/>
      <c r="G149" s="1031"/>
      <c r="U149" s="113"/>
      <c r="V149" s="113"/>
      <c r="W149" s="113"/>
      <c r="X149" s="113"/>
      <c r="Y149" s="113"/>
      <c r="Z149" s="113"/>
      <c r="AA149" s="113"/>
      <c r="AB149" s="113"/>
      <c r="AC149" s="113"/>
      <c r="AD149" s="113"/>
      <c r="AE149" s="113"/>
      <c r="AF149" s="113"/>
      <c r="AG149" s="113"/>
    </row>
    <row r="150" spans="1:33" ht="20.100000000000001" customHeight="1">
      <c r="A150" s="20"/>
      <c r="C150" s="200"/>
      <c r="D150" s="1031"/>
      <c r="E150" s="1031"/>
      <c r="F150" s="1031"/>
      <c r="G150" s="1031"/>
      <c r="U150" s="113"/>
      <c r="V150" s="113"/>
      <c r="W150" s="113"/>
      <c r="X150" s="113"/>
      <c r="Y150" s="113"/>
      <c r="Z150" s="113"/>
      <c r="AA150" s="113"/>
      <c r="AB150" s="113"/>
      <c r="AC150" s="113"/>
      <c r="AD150" s="113"/>
      <c r="AE150" s="113"/>
      <c r="AF150" s="113"/>
      <c r="AG150" s="113"/>
    </row>
    <row r="151" spans="1:33" ht="62.1" customHeight="1">
      <c r="A151" s="193" t="s">
        <v>187</v>
      </c>
      <c r="B151" s="675"/>
      <c r="C151" s="1123" t="s">
        <v>188</v>
      </c>
      <c r="D151" s="1123"/>
      <c r="E151" s="1123"/>
      <c r="F151" s="1123"/>
      <c r="G151" s="1123"/>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22"/>
      <c r="D156" s="1023"/>
      <c r="E156" s="1023"/>
      <c r="F156" s="1023"/>
      <c r="G156" s="1024"/>
      <c r="H156" s="201"/>
      <c r="U156" s="113"/>
      <c r="V156" s="113"/>
      <c r="W156" s="113"/>
      <c r="X156" s="113"/>
      <c r="Y156" s="113"/>
      <c r="Z156" s="113"/>
      <c r="AA156" s="113"/>
      <c r="AB156" s="113"/>
      <c r="AC156" s="113"/>
      <c r="AD156" s="113"/>
      <c r="AE156" s="113"/>
      <c r="AF156" s="113"/>
      <c r="AG156" s="113"/>
    </row>
    <row r="157" spans="1:33" ht="20.100000000000001" customHeight="1">
      <c r="A157" s="20"/>
      <c r="C157" s="1025"/>
      <c r="D157" s="1026"/>
      <c r="E157" s="1026"/>
      <c r="F157" s="1026"/>
      <c r="G157" s="1027"/>
      <c r="H157" s="201"/>
      <c r="U157" s="113"/>
      <c r="V157" s="113"/>
      <c r="W157" s="113"/>
      <c r="X157" s="113"/>
      <c r="Y157" s="113"/>
      <c r="Z157" s="113"/>
      <c r="AA157" s="113"/>
      <c r="AB157" s="113"/>
      <c r="AC157" s="113"/>
      <c r="AD157" s="113"/>
      <c r="AE157" s="113"/>
      <c r="AF157" s="113"/>
      <c r="AG157" s="113"/>
    </row>
    <row r="158" spans="1:33" ht="20.100000000000001" customHeight="1">
      <c r="A158" s="20"/>
      <c r="C158" s="1025"/>
      <c r="D158" s="1026"/>
      <c r="E158" s="1026"/>
      <c r="F158" s="1026"/>
      <c r="G158" s="1027"/>
      <c r="H158" s="201"/>
      <c r="U158" s="113"/>
      <c r="V158" s="113"/>
      <c r="W158" s="113"/>
      <c r="X158" s="113"/>
      <c r="Y158" s="113"/>
      <c r="Z158" s="113"/>
      <c r="AA158" s="113"/>
      <c r="AB158" s="113"/>
      <c r="AC158" s="113"/>
      <c r="AD158" s="113"/>
      <c r="AE158" s="113"/>
      <c r="AF158" s="113"/>
      <c r="AG158" s="113"/>
    </row>
    <row r="159" spans="1:33" ht="20.100000000000001" customHeight="1">
      <c r="A159" s="20"/>
      <c r="C159" s="1025"/>
      <c r="D159" s="1026"/>
      <c r="E159" s="1026"/>
      <c r="F159" s="1026"/>
      <c r="G159" s="1027"/>
      <c r="H159" s="201"/>
      <c r="U159" s="113"/>
      <c r="V159" s="113"/>
      <c r="W159" s="113"/>
      <c r="X159" s="113"/>
      <c r="Y159" s="113"/>
      <c r="Z159" s="113"/>
      <c r="AA159" s="113"/>
      <c r="AB159" s="113"/>
      <c r="AC159" s="113"/>
      <c r="AD159" s="113"/>
      <c r="AE159" s="113"/>
      <c r="AF159" s="113"/>
      <c r="AG159" s="113"/>
    </row>
    <row r="160" spans="1:33" ht="20.100000000000001" customHeight="1">
      <c r="A160" s="20"/>
      <c r="C160" s="1025"/>
      <c r="D160" s="1026"/>
      <c r="E160" s="1026"/>
      <c r="F160" s="1026"/>
      <c r="G160" s="1027"/>
      <c r="H160" s="201"/>
      <c r="U160" s="113"/>
      <c r="V160" s="113"/>
      <c r="W160" s="113"/>
      <c r="X160" s="113"/>
      <c r="Y160" s="113"/>
      <c r="Z160" s="113"/>
      <c r="AA160" s="113"/>
      <c r="AB160" s="113"/>
      <c r="AC160" s="113"/>
      <c r="AD160" s="113"/>
      <c r="AE160" s="113"/>
      <c r="AF160" s="113"/>
      <c r="AG160" s="113"/>
    </row>
    <row r="161" spans="1:33" ht="20.100000000000001" customHeight="1">
      <c r="A161" s="20"/>
      <c r="C161" s="1025"/>
      <c r="D161" s="1026"/>
      <c r="E161" s="1026"/>
      <c r="F161" s="1026"/>
      <c r="G161" s="1027"/>
      <c r="H161" s="201"/>
      <c r="U161" s="113"/>
      <c r="V161" s="113"/>
      <c r="W161" s="113"/>
      <c r="X161" s="113"/>
      <c r="Y161" s="113"/>
      <c r="Z161" s="113"/>
      <c r="AA161" s="113"/>
      <c r="AB161" s="113"/>
      <c r="AC161" s="113"/>
      <c r="AD161" s="113"/>
      <c r="AE161" s="113"/>
      <c r="AF161" s="113"/>
      <c r="AG161" s="113"/>
    </row>
    <row r="162" spans="1:33" ht="20.100000000000001" customHeight="1">
      <c r="A162" s="20"/>
      <c r="C162" s="1025"/>
      <c r="D162" s="1026"/>
      <c r="E162" s="1026"/>
      <c r="F162" s="1026"/>
      <c r="G162" s="1027"/>
      <c r="H162" s="201"/>
      <c r="U162" s="113"/>
      <c r="V162" s="113"/>
      <c r="W162" s="113"/>
      <c r="X162" s="113"/>
      <c r="Y162" s="113"/>
      <c r="Z162" s="113"/>
      <c r="AA162" s="113"/>
      <c r="AB162" s="113"/>
      <c r="AC162" s="113"/>
      <c r="AD162" s="113"/>
      <c r="AE162" s="113"/>
      <c r="AF162" s="113"/>
      <c r="AG162" s="113"/>
    </row>
    <row r="163" spans="1:33" ht="20.100000000000001" customHeight="1">
      <c r="A163" s="20"/>
      <c r="C163" s="1025"/>
      <c r="D163" s="1026"/>
      <c r="E163" s="1026"/>
      <c r="F163" s="1026"/>
      <c r="G163" s="1027"/>
      <c r="H163" s="201"/>
      <c r="U163" s="113"/>
      <c r="V163" s="113"/>
      <c r="W163" s="113"/>
      <c r="X163" s="113"/>
      <c r="Y163" s="113"/>
      <c r="Z163" s="113"/>
      <c r="AA163" s="113"/>
      <c r="AB163" s="113"/>
      <c r="AC163" s="113"/>
      <c r="AD163" s="113"/>
      <c r="AE163" s="113"/>
      <c r="AF163" s="113"/>
      <c r="AG163" s="113"/>
    </row>
    <row r="164" spans="1:33" ht="20.100000000000001" customHeight="1">
      <c r="A164" s="20"/>
      <c r="C164" s="1025"/>
      <c r="D164" s="1026"/>
      <c r="E164" s="1026"/>
      <c r="F164" s="1026"/>
      <c r="G164" s="1027"/>
      <c r="H164" s="201"/>
      <c r="U164" s="113"/>
      <c r="V164" s="113"/>
      <c r="W164" s="113"/>
      <c r="X164" s="113"/>
      <c r="Y164" s="113"/>
      <c r="Z164" s="113"/>
      <c r="AA164" s="113"/>
      <c r="AB164" s="113"/>
      <c r="AC164" s="113"/>
      <c r="AD164" s="113"/>
      <c r="AE164" s="113"/>
      <c r="AF164" s="113"/>
      <c r="AG164" s="113"/>
    </row>
    <row r="165" spans="1:33" ht="20.100000000000001" customHeight="1" thickBot="1">
      <c r="A165" s="20"/>
      <c r="C165" s="1028"/>
      <c r="D165" s="1029"/>
      <c r="E165" s="1029"/>
      <c r="F165" s="1029"/>
      <c r="G165" s="1030"/>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mergeCells count="2">
    <mergeCell ref="C53:G62"/>
    <mergeCell ref="C77:G86"/>
  </mergeCell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6" man="1"/>
    <brk id="108" max="6"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70" zoomScaleNormal="70" zoomScaleSheetLayoutView="90" zoomScalePageLayoutView="70" workbookViewId="0">
      <selection activeCell="M30" sqref="M30"/>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5" t="s">
        <v>191</v>
      </c>
      <c r="C1" s="1125"/>
      <c r="D1" s="1125"/>
      <c r="E1" s="1125"/>
      <c r="F1" s="371"/>
      <c r="G1" s="371"/>
    </row>
    <row r="2" spans="2:7" ht="26.25">
      <c r="B2" s="1126" t="s">
        <v>11</v>
      </c>
      <c r="C2" s="1126"/>
      <c r="D2" s="1126"/>
      <c r="E2" s="1126"/>
      <c r="F2" s="1036"/>
      <c r="G2" s="1036"/>
    </row>
    <row r="3" spans="2:7" ht="26.25">
      <c r="B3" s="1126" t="s">
        <v>192</v>
      </c>
      <c r="C3" s="1126"/>
      <c r="D3" s="1126"/>
      <c r="E3" s="1126"/>
      <c r="F3" s="1036"/>
      <c r="G3" s="1036"/>
    </row>
    <row r="4" spans="2:7" ht="26.25">
      <c r="B4" s="1126" t="s">
        <v>193</v>
      </c>
      <c r="C4" s="1126"/>
      <c r="D4" s="1126"/>
      <c r="E4" s="1126"/>
      <c r="F4" s="1036"/>
      <c r="G4" s="1036"/>
    </row>
    <row r="5" spans="2:7" ht="26.25">
      <c r="B5" s="1125" t="s">
        <v>769</v>
      </c>
      <c r="C5" s="1126"/>
      <c r="D5" s="1125"/>
      <c r="E5" s="1125"/>
      <c r="F5" s="1037"/>
      <c r="G5" s="1037"/>
    </row>
    <row r="6" spans="2:7" ht="25.35" customHeight="1">
      <c r="B6" s="1037"/>
      <c r="C6" s="1037"/>
      <c r="D6" s="1037"/>
      <c r="E6" s="1037"/>
      <c r="F6" s="1037"/>
      <c r="G6" s="1037"/>
    </row>
    <row r="7" spans="2:7" ht="25.35" customHeight="1">
      <c r="B7" s="371"/>
      <c r="C7" s="1037"/>
      <c r="D7" s="435"/>
      <c r="E7" s="435"/>
      <c r="F7" s="435"/>
      <c r="G7" s="435"/>
    </row>
    <row r="8" spans="2:7" ht="25.35" customHeight="1">
      <c r="B8" s="437" t="s">
        <v>194</v>
      </c>
      <c r="C8" s="1035" t="str">
        <f>'CHECK SHEET'!D7</f>
        <v>Florida SouthWestern State College</v>
      </c>
      <c r="D8" s="1035"/>
      <c r="E8" s="1035"/>
      <c r="F8" s="434"/>
      <c r="G8" s="434"/>
    </row>
    <row r="9" spans="2:7" ht="25.35" customHeight="1">
      <c r="D9" s="151"/>
      <c r="E9" s="151"/>
      <c r="F9" s="151"/>
      <c r="G9" s="151"/>
    </row>
    <row r="10" spans="2:7" ht="41.45" customHeight="1">
      <c r="E10" s="722" t="s">
        <v>195</v>
      </c>
    </row>
    <row r="11" spans="2:7" ht="25.35" customHeight="1">
      <c r="B11" s="114" t="s">
        <v>770</v>
      </c>
      <c r="D11" s="114"/>
      <c r="E11" s="202"/>
    </row>
    <row r="12" spans="2:7" ht="25.35" customHeight="1">
      <c r="B12" s="114"/>
      <c r="C12" s="114"/>
      <c r="D12" s="114"/>
    </row>
    <row r="13" spans="2:7" ht="25.35" customHeight="1">
      <c r="B13" s="37" t="s">
        <v>778</v>
      </c>
      <c r="C13" s="114"/>
      <c r="D13" s="114"/>
      <c r="E13" s="585">
        <v>8979040</v>
      </c>
    </row>
    <row r="14" spans="2:7" ht="25.35" customHeight="1">
      <c r="B14" s="37" t="s">
        <v>196</v>
      </c>
      <c r="D14" s="114"/>
      <c r="E14" s="723">
        <v>33116144</v>
      </c>
    </row>
    <row r="15" spans="2:7" ht="25.35" customHeight="1">
      <c r="B15" s="114"/>
      <c r="C15" s="24"/>
      <c r="D15" s="114"/>
      <c r="E15" s="203"/>
    </row>
    <row r="16" spans="2:7" ht="25.35" customHeight="1">
      <c r="B16" s="24" t="s">
        <v>771</v>
      </c>
      <c r="C16" s="114"/>
      <c r="D16" s="35"/>
      <c r="E16" s="724">
        <f>+E14+E13</f>
        <v>42095184</v>
      </c>
    </row>
    <row r="17" spans="2:7" ht="25.35" customHeight="1">
      <c r="B17" s="114"/>
      <c r="C17" s="35"/>
      <c r="D17" s="114"/>
      <c r="E17" s="204"/>
    </row>
    <row r="18" spans="2:7" ht="25.35" customHeight="1">
      <c r="B18" s="37" t="s">
        <v>197</v>
      </c>
      <c r="C18" s="114"/>
      <c r="D18" s="114"/>
      <c r="E18" s="216">
        <f>+'EXHIBIT D'!G143-SUM(+'EXHIBIT D'!G132+'EXHIBIT D'!G133+'EXHIBIT D'!G134+'EXHIBIT D'!G135)</f>
        <v>77571857</v>
      </c>
      <c r="G18" s="205"/>
    </row>
    <row r="19" spans="2:7" ht="25.35" customHeight="1">
      <c r="B19" s="37" t="s">
        <v>198</v>
      </c>
      <c r="D19" s="114"/>
      <c r="E19" s="724">
        <f>+'EXHIBIT D'!G132+'EXHIBIT D'!G133+'EXHIBIT D'!G134+'EXHIBIT D'!G135</f>
        <v>113000</v>
      </c>
    </row>
    <row r="20" spans="2:7" ht="25.35" customHeight="1">
      <c r="B20" s="114"/>
      <c r="D20" s="114"/>
      <c r="E20" s="211"/>
    </row>
    <row r="21" spans="2:7" ht="25.35" customHeight="1">
      <c r="B21" s="37" t="s">
        <v>199</v>
      </c>
      <c r="C21" s="114"/>
      <c r="D21" s="114"/>
      <c r="E21" s="725">
        <f>+E19+E18</f>
        <v>77684857</v>
      </c>
    </row>
    <row r="22" spans="2:7" ht="25.35" customHeight="1">
      <c r="B22" s="114"/>
      <c r="C22" s="114"/>
      <c r="D22" s="114"/>
      <c r="E22" s="211"/>
    </row>
    <row r="23" spans="2:7" ht="25.35" customHeight="1">
      <c r="B23" s="114" t="s">
        <v>200</v>
      </c>
      <c r="C23" s="114"/>
      <c r="D23" s="114"/>
      <c r="E23" s="725">
        <f>+E21+E16</f>
        <v>119780041</v>
      </c>
    </row>
    <row r="24" spans="2:7" ht="25.35" customHeight="1">
      <c r="B24" s="114"/>
      <c r="C24" s="114"/>
      <c r="D24" s="114"/>
      <c r="E24" s="211"/>
    </row>
    <row r="25" spans="2:7" ht="25.35" customHeight="1">
      <c r="B25" s="37" t="s">
        <v>201</v>
      </c>
      <c r="C25" s="114"/>
      <c r="D25" s="114"/>
      <c r="E25" s="217">
        <f>'EXHIBIT D'!G256-SUM(+'EXHIBIT D'!G229+'EXHIBIT D'!G230+'EXHIBIT D'!G231+'EXHIBIT D'!G232+'EXHIBIT D'!G233)</f>
        <v>78525855</v>
      </c>
    </row>
    <row r="26" spans="2:7" ht="25.35" customHeight="1">
      <c r="B26" s="37" t="s">
        <v>202</v>
      </c>
      <c r="D26" s="114"/>
      <c r="E26" s="724">
        <f>'EXHIBIT D'!G229+'EXHIBIT D'!G230+'EXHIBIT D'!G231+'EXHIBIT D'!G232+'EXHIBIT D'!G233</f>
        <v>0</v>
      </c>
    </row>
    <row r="27" spans="2:7" ht="25.35" customHeight="1">
      <c r="B27" s="114"/>
      <c r="D27" s="114"/>
      <c r="E27" s="211"/>
    </row>
    <row r="28" spans="2:7" ht="25.35" customHeight="1">
      <c r="B28" s="114" t="s">
        <v>203</v>
      </c>
      <c r="C28" s="114"/>
      <c r="D28" s="114"/>
      <c r="E28" s="726">
        <f>+E26+E25</f>
        <v>78525855</v>
      </c>
    </row>
    <row r="29" spans="2:7" ht="25.35" customHeight="1">
      <c r="B29" s="114"/>
      <c r="C29" s="114"/>
      <c r="D29" s="114"/>
      <c r="E29" s="206"/>
    </row>
    <row r="30" spans="2:7" ht="25.35" customHeight="1">
      <c r="B30" s="114" t="s">
        <v>772</v>
      </c>
      <c r="C30" s="114"/>
      <c r="D30" s="114"/>
      <c r="E30" s="206"/>
    </row>
    <row r="31" spans="2:7" ht="25.35" customHeight="1">
      <c r="B31" s="114"/>
      <c r="C31" s="114"/>
      <c r="D31" s="114"/>
      <c r="E31" s="206"/>
    </row>
    <row r="32" spans="2:7" ht="25.35" customHeight="1">
      <c r="B32" s="37" t="s">
        <v>204</v>
      </c>
      <c r="C32" s="114"/>
      <c r="D32" s="207">
        <f>+E23-E28</f>
        <v>41254186</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773</v>
      </c>
      <c r="C35" s="114"/>
      <c r="D35" s="114"/>
      <c r="E35" s="209">
        <f>+D32+D33</f>
        <v>41254186</v>
      </c>
      <c r="J35" s="151"/>
    </row>
    <row r="36" spans="2:10" ht="25.35" customHeight="1">
      <c r="B36" s="37" t="s">
        <v>774</v>
      </c>
      <c r="C36" s="114"/>
      <c r="D36" s="114"/>
      <c r="E36" s="725">
        <f>-'EXHIBIT D'!G272</f>
        <v>33116144</v>
      </c>
      <c r="J36" s="210"/>
    </row>
    <row r="37" spans="2:10" ht="25.35" customHeight="1">
      <c r="D37" s="114"/>
      <c r="E37" s="209"/>
      <c r="J37" s="151"/>
    </row>
    <row r="38" spans="2:10" ht="25.35" customHeight="1">
      <c r="B38" s="114" t="s">
        <v>775</v>
      </c>
      <c r="D38" s="114"/>
      <c r="E38" s="724">
        <f>+E35-E36</f>
        <v>8138042</v>
      </c>
      <c r="J38" s="151"/>
    </row>
    <row r="39" spans="2:10" ht="25.35" customHeight="1">
      <c r="B39" s="114"/>
      <c r="C39" s="114"/>
      <c r="D39" s="114"/>
      <c r="E39" s="211"/>
    </row>
    <row r="40" spans="2:10" ht="25.35" customHeight="1">
      <c r="B40" s="24" t="s">
        <v>776</v>
      </c>
      <c r="C40" s="114"/>
      <c r="D40" s="35"/>
      <c r="E40" s="726">
        <f>'EXHIBIT D'!G261+'EXHIBIT D'!G262+'EXHIBIT D'!G263+'EXHIBIT D'!G264+'EXHIBIT D'!G265+'EXHIBIT D'!G266+'EXHIBIT D'!G267+'EXHIBIT D'!G268</f>
        <v>8138042</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777</v>
      </c>
      <c r="C44" s="114"/>
      <c r="D44" s="114"/>
      <c r="E44" s="728">
        <f>+E40/E23</f>
        <v>6.7941552967075713E-2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50" zoomScaleNormal="50" zoomScalePageLayoutView="50" workbookViewId="0">
      <selection activeCell="S31" sqref="S31"/>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34" t="s">
        <v>211</v>
      </c>
      <c r="L1" s="1034"/>
      <c r="M1" s="1034"/>
      <c r="N1" s="1034"/>
      <c r="O1" s="1034"/>
      <c r="P1" s="1034"/>
      <c r="Q1" s="1034"/>
      <c r="R1" s="1034"/>
    </row>
    <row r="2" spans="1:18" s="371" customFormat="1" ht="20.100000000000001" customHeight="1"/>
    <row r="3" spans="1:18" s="371" customFormat="1" ht="20.100000000000001" customHeight="1">
      <c r="A3" s="1126" t="s">
        <v>11</v>
      </c>
      <c r="B3" s="1126"/>
      <c r="C3" s="1126"/>
      <c r="D3" s="1126"/>
      <c r="E3" s="1126"/>
      <c r="F3" s="1126"/>
      <c r="G3" s="1126"/>
      <c r="H3" s="1126"/>
      <c r="I3" s="1036"/>
      <c r="J3" s="370"/>
      <c r="K3" s="370"/>
    </row>
    <row r="4" spans="1:18" s="371" customFormat="1" ht="20.100000000000001" customHeight="1">
      <c r="A4" s="1126" t="s">
        <v>192</v>
      </c>
      <c r="B4" s="1126"/>
      <c r="C4" s="1126"/>
      <c r="D4" s="1126"/>
      <c r="E4" s="1126"/>
      <c r="F4" s="1126"/>
      <c r="G4" s="1126"/>
      <c r="H4" s="1126"/>
      <c r="I4" s="1036"/>
    </row>
    <row r="5" spans="1:18" s="371" customFormat="1" ht="24" customHeight="1">
      <c r="A5" s="1126" t="s">
        <v>779</v>
      </c>
      <c r="B5" s="1126"/>
      <c r="C5" s="1126"/>
      <c r="D5" s="1126"/>
      <c r="E5" s="1126"/>
      <c r="F5" s="1126"/>
      <c r="G5" s="1126"/>
      <c r="H5" s="1126"/>
      <c r="I5" s="1036"/>
    </row>
    <row r="6" spans="1:18" s="371" customFormat="1" ht="24" customHeight="1">
      <c r="A6" s="1126" t="s">
        <v>212</v>
      </c>
      <c r="B6" s="1126"/>
      <c r="C6" s="1126"/>
      <c r="D6" s="1126"/>
      <c r="E6" s="1126"/>
      <c r="F6" s="1126"/>
      <c r="G6" s="1126"/>
      <c r="H6" s="1126"/>
      <c r="I6" s="1036"/>
    </row>
    <row r="7" spans="1:18" s="371" customFormat="1" ht="20.100000000000001" customHeight="1">
      <c r="A7" s="1125"/>
      <c r="B7" s="1125"/>
      <c r="C7" s="1125"/>
      <c r="D7" s="1125"/>
      <c r="E7" s="1125"/>
      <c r="F7" s="1125"/>
      <c r="G7" s="1125"/>
      <c r="H7" s="1125"/>
      <c r="I7" s="1037"/>
    </row>
    <row r="8" spans="1:18" s="371" customFormat="1" ht="25.35" customHeight="1" thickBot="1">
      <c r="A8" s="1125"/>
      <c r="B8" s="1129"/>
      <c r="C8" s="1125" t="s">
        <v>194</v>
      </c>
      <c r="D8" s="1130" t="str">
        <f>'CHECK SHEET'!D7</f>
        <v>Florida SouthWestern State College</v>
      </c>
      <c r="E8" s="1130"/>
      <c r="F8" s="1130"/>
      <c r="G8" s="1130"/>
      <c r="H8" s="1130"/>
    </row>
    <row r="9" spans="1:18" s="37" customFormat="1" ht="20.100000000000001" customHeight="1"/>
    <row r="10" spans="1:18" s="37" customFormat="1" ht="20.100000000000001" customHeight="1">
      <c r="B10" s="114"/>
      <c r="C10" s="114"/>
      <c r="D10" s="114"/>
      <c r="E10" s="1127"/>
      <c r="F10" s="1128"/>
      <c r="G10" s="1128"/>
    </row>
    <row r="11" spans="1:18" s="37" customFormat="1" ht="20.100000000000001" customHeight="1">
      <c r="B11" s="1038" t="s">
        <v>213</v>
      </c>
      <c r="C11" s="1038"/>
      <c r="D11" s="1008"/>
      <c r="E11" s="1008"/>
    </row>
    <row r="12" spans="1:18" s="37" customFormat="1" ht="20.100000000000001" customHeight="1" thickBot="1">
      <c r="B12" s="1039" t="s">
        <v>214</v>
      </c>
      <c r="C12" s="1039"/>
      <c r="D12" s="1039"/>
      <c r="E12" s="1039"/>
      <c r="J12" s="114"/>
    </row>
    <row r="13" spans="1:18" s="37" customFormat="1" ht="105.75" customHeight="1" thickBot="1">
      <c r="A13" s="438" t="s">
        <v>215</v>
      </c>
      <c r="B13" s="392" t="s">
        <v>216</v>
      </c>
      <c r="C13" s="1043" t="s">
        <v>217</v>
      </c>
      <c r="D13" s="392" t="s">
        <v>218</v>
      </c>
      <c r="E13" s="392" t="s">
        <v>219</v>
      </c>
      <c r="F13" s="1042" t="s">
        <v>220</v>
      </c>
      <c r="G13" s="392" t="s">
        <v>50</v>
      </c>
      <c r="H13" s="1043" t="s">
        <v>221</v>
      </c>
      <c r="I13" s="24"/>
      <c r="J13" s="35"/>
      <c r="K13" s="24"/>
    </row>
    <row r="14" spans="1:18" s="37" customFormat="1" ht="20.100000000000001" customHeight="1">
      <c r="A14" s="439" t="s">
        <v>222</v>
      </c>
      <c r="B14" s="1197">
        <v>91.79</v>
      </c>
      <c r="C14" s="1197">
        <v>4.59</v>
      </c>
      <c r="D14" s="1197">
        <v>9.18</v>
      </c>
      <c r="E14" s="1197">
        <v>13.56</v>
      </c>
      <c r="F14" s="1197">
        <v>4.59</v>
      </c>
      <c r="G14" s="857">
        <f>SUM(B14:F14)</f>
        <v>123.71000000000001</v>
      </c>
      <c r="H14" s="477">
        <f>G14*30</f>
        <v>3711.3</v>
      </c>
      <c r="I14" s="24"/>
    </row>
    <row r="15" spans="1:18" s="37" customFormat="1" ht="20.100000000000001" customHeight="1">
      <c r="A15" s="114" t="s">
        <v>223</v>
      </c>
      <c r="B15" s="1198">
        <v>81.209999999999994</v>
      </c>
      <c r="C15" s="1198">
        <v>4.07</v>
      </c>
      <c r="D15" s="1198">
        <v>8.1300000000000008</v>
      </c>
      <c r="E15" s="1198">
        <v>13.88</v>
      </c>
      <c r="F15" s="1198">
        <v>4.07</v>
      </c>
      <c r="G15" s="857">
        <f>SUM(B15:F15)</f>
        <v>111.35999999999999</v>
      </c>
      <c r="H15" s="440">
        <f>G15*30</f>
        <v>3340.7999999999997</v>
      </c>
      <c r="I15" s="24"/>
    </row>
    <row r="16" spans="1:18" s="37" customFormat="1" ht="20.100000000000001" customHeight="1" thickBot="1">
      <c r="A16" s="35" t="s">
        <v>87</v>
      </c>
      <c r="B16" s="1199">
        <v>72.03</v>
      </c>
      <c r="C16" s="1199">
        <v>7.21</v>
      </c>
      <c r="D16" s="1200"/>
      <c r="E16" s="1199">
        <v>0</v>
      </c>
      <c r="F16" s="1199">
        <v>3.61</v>
      </c>
      <c r="G16" s="441">
        <f>SUM(B16:F16)</f>
        <v>82.85</v>
      </c>
      <c r="H16" s="858">
        <f>G16*30</f>
        <v>2485.5</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43" t="s">
        <v>225</v>
      </c>
    </row>
    <row r="19" spans="1:11" s="37" customFormat="1" ht="20.100000000000001" customHeight="1">
      <c r="A19" s="114" t="s">
        <v>226</v>
      </c>
      <c r="B19" s="856">
        <v>0</v>
      </c>
      <c r="C19" s="478"/>
      <c r="D19" s="478"/>
      <c r="E19" s="478"/>
      <c r="F19" s="478"/>
      <c r="G19" s="857">
        <f>B19</f>
        <v>0</v>
      </c>
      <c r="H19" s="765">
        <f>G19*3</f>
        <v>0</v>
      </c>
    </row>
    <row r="20" spans="1:11" s="37" customFormat="1" ht="20.100000000000001" customHeight="1" thickBot="1">
      <c r="A20" s="114" t="s">
        <v>227</v>
      </c>
      <c r="B20" s="750">
        <v>0</v>
      </c>
      <c r="C20" s="479"/>
      <c r="D20" s="479"/>
      <c r="E20" s="479"/>
      <c r="F20" s="479"/>
      <c r="G20" s="444">
        <f>B20</f>
        <v>0</v>
      </c>
      <c r="H20" s="711">
        <f>G20*3</f>
        <v>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42" t="s">
        <v>220</v>
      </c>
      <c r="H28" s="392" t="s">
        <v>50</v>
      </c>
      <c r="I28" s="1043" t="s">
        <v>221</v>
      </c>
      <c r="J28" s="114"/>
      <c r="K28" s="114"/>
    </row>
    <row r="29" spans="1:11" s="37" customFormat="1" ht="20.100000000000001" customHeight="1">
      <c r="A29" s="439" t="str">
        <f t="shared" ref="A29:B31" si="0">A14</f>
        <v>UPPER LEVEL - BACCALAUREATE</v>
      </c>
      <c r="B29" s="450">
        <f t="shared" si="0"/>
        <v>91.79</v>
      </c>
      <c r="C29" s="1197">
        <v>511.41</v>
      </c>
      <c r="D29" s="1197">
        <v>30.16</v>
      </c>
      <c r="E29" s="680">
        <f>D14</f>
        <v>9.18</v>
      </c>
      <c r="F29" s="1197">
        <v>120.64</v>
      </c>
      <c r="G29" s="1197">
        <v>30.16</v>
      </c>
      <c r="H29" s="451">
        <f>SUM(B29:G29)</f>
        <v>793.33999999999992</v>
      </c>
      <c r="I29" s="471">
        <f>H29*30</f>
        <v>23800.199999999997</v>
      </c>
      <c r="J29" s="24"/>
    </row>
    <row r="30" spans="1:11" s="37" customFormat="1" ht="20.100000000000001" customHeight="1">
      <c r="A30" s="114" t="str">
        <f t="shared" si="0"/>
        <v>LOWER LEVEL - CREDIT (A &amp; P, PSV, DEVELOPMENTAL EDUCATION AND EPI)</v>
      </c>
      <c r="B30" s="861">
        <f t="shared" si="0"/>
        <v>81.209999999999994</v>
      </c>
      <c r="C30" s="1201">
        <v>243.79</v>
      </c>
      <c r="D30" s="1201">
        <v>16.25</v>
      </c>
      <c r="E30" s="862">
        <f>D15</f>
        <v>8.1300000000000008</v>
      </c>
      <c r="F30" s="1201">
        <v>65</v>
      </c>
      <c r="G30" s="1201">
        <v>16.25</v>
      </c>
      <c r="H30" s="857">
        <f>SUM(B30:G30)</f>
        <v>430.63</v>
      </c>
      <c r="I30" s="440">
        <f>H30*30</f>
        <v>12918.9</v>
      </c>
    </row>
    <row r="31" spans="1:11" s="37" customFormat="1" ht="20.100000000000001" customHeight="1" thickBot="1">
      <c r="A31" s="114" t="str">
        <f t="shared" si="0"/>
        <v>CAREER CERTIFICATE AND APPLIED TECHNOLOGY DIPLOMA</v>
      </c>
      <c r="B31" s="530">
        <f t="shared" si="0"/>
        <v>72.03</v>
      </c>
      <c r="C31" s="1198">
        <v>216.08</v>
      </c>
      <c r="D31" s="1198">
        <v>28.82</v>
      </c>
      <c r="E31" s="408"/>
      <c r="F31" s="1198">
        <v>0</v>
      </c>
      <c r="G31" s="1198">
        <v>14.41</v>
      </c>
      <c r="H31" s="441">
        <f>SUM(B31:G31)</f>
        <v>331.34000000000003</v>
      </c>
      <c r="I31" s="858">
        <f>H31*30</f>
        <v>9940.2000000000007</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43" t="s">
        <v>225</v>
      </c>
      <c r="J33" s="24"/>
      <c r="K33" s="24"/>
    </row>
    <row r="34" spans="1:11" s="37" customFormat="1" ht="20.100000000000001" customHeight="1">
      <c r="A34" s="35" t="str">
        <f>A19</f>
        <v>VOCATIONAL PREPARATORY (PER TERM)</v>
      </c>
      <c r="B34" s="455">
        <f>B19</f>
        <v>0</v>
      </c>
      <c r="C34" s="478"/>
      <c r="D34" s="478"/>
      <c r="E34" s="478"/>
      <c r="F34" s="478"/>
      <c r="G34" s="478"/>
      <c r="H34" s="863">
        <f>B34</f>
        <v>0</v>
      </c>
      <c r="I34" s="472">
        <f>H34*3</f>
        <v>0</v>
      </c>
      <c r="J34" s="456"/>
      <c r="K34" s="456"/>
    </row>
    <row r="35" spans="1:11" s="37" customFormat="1" ht="20.100000000000001" customHeight="1" thickBot="1">
      <c r="A35" s="35" t="str">
        <f>A20</f>
        <v>ADULT GENERAL EDUCATION AND SECONDARY (PER TERM)</v>
      </c>
      <c r="B35" s="864">
        <f>B20</f>
        <v>0</v>
      </c>
      <c r="C35" s="479"/>
      <c r="D35" s="479"/>
      <c r="E35" s="479"/>
      <c r="F35" s="479"/>
      <c r="G35" s="479"/>
      <c r="H35" s="457">
        <f>B35</f>
        <v>0</v>
      </c>
      <c r="I35" s="865">
        <f>H35*3</f>
        <v>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31" t="s">
        <v>780</v>
      </c>
      <c r="C40" s="1131"/>
      <c r="D40" s="1131"/>
      <c r="E40" s="1131"/>
      <c r="F40" s="1131"/>
      <c r="G40" s="1131"/>
      <c r="H40" s="1131"/>
      <c r="I40" s="1131"/>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8" zoomScale="50" zoomScaleNormal="50" zoomScaleSheetLayoutView="50" zoomScalePageLayoutView="50" workbookViewId="0">
      <selection activeCell="H63" sqref="H63"/>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33" t="s">
        <v>11</v>
      </c>
      <c r="B2" s="1133"/>
      <c r="C2" s="1133"/>
      <c r="D2" s="1133"/>
      <c r="E2" s="1133"/>
      <c r="F2" s="1133"/>
      <c r="G2" s="1133"/>
      <c r="H2" s="1041"/>
      <c r="I2" s="223"/>
    </row>
    <row r="3" spans="1:10" ht="20.100000000000001" customHeight="1">
      <c r="A3" s="1133" t="s">
        <v>781</v>
      </c>
      <c r="B3" s="1133"/>
      <c r="C3" s="1133"/>
      <c r="D3" s="1133"/>
      <c r="E3" s="1133"/>
      <c r="F3" s="1133"/>
      <c r="G3" s="1133"/>
      <c r="H3" s="1041"/>
    </row>
    <row r="4" spans="1:10" ht="20.100000000000001" customHeight="1">
      <c r="A4" s="425"/>
      <c r="B4" s="425"/>
      <c r="C4" s="425"/>
      <c r="D4" s="425"/>
      <c r="E4" s="425"/>
      <c r="F4" s="425"/>
      <c r="G4" s="425"/>
      <c r="H4" s="372"/>
    </row>
    <row r="5" spans="1:10" ht="27.6" customHeight="1" thickBot="1">
      <c r="A5" s="1133" t="s">
        <v>234</v>
      </c>
      <c r="B5" s="1134" t="str">
        <f>'CHECK SHEET'!D7</f>
        <v>Florida SouthWestern State College</v>
      </c>
      <c r="C5" s="1134"/>
      <c r="D5" s="1134"/>
      <c r="E5" s="1134"/>
      <c r="F5" s="1134"/>
      <c r="G5" s="425"/>
      <c r="H5" s="1132"/>
    </row>
    <row r="6" spans="1:10" ht="20.100000000000001" customHeight="1">
      <c r="A6" s="425"/>
      <c r="B6" s="425"/>
      <c r="C6" s="425"/>
      <c r="D6" s="425"/>
      <c r="E6" s="425"/>
      <c r="F6" s="425"/>
      <c r="G6" s="425"/>
      <c r="H6" s="1132"/>
    </row>
    <row r="7" spans="1:10" ht="20.100000000000001" customHeight="1">
      <c r="A7" s="1038" t="s">
        <v>235</v>
      </c>
      <c r="B7" s="1038"/>
      <c r="C7" s="1038"/>
      <c r="D7" s="1038"/>
      <c r="E7" s="1038"/>
      <c r="F7" s="1038"/>
      <c r="G7" s="1038"/>
      <c r="H7" s="1038"/>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(712015+699440+398001)/G10</f>
        <v>19712.997058503104</v>
      </c>
      <c r="E10" s="684">
        <v>0</v>
      </c>
      <c r="F10" s="685">
        <f t="shared" ref="F10:F15" si="0">+D10-E10</f>
        <v>19712.997058503104</v>
      </c>
      <c r="G10" s="685">
        <f>'EXHIBIT B'!B14</f>
        <v>91.79</v>
      </c>
      <c r="H10" s="686">
        <f>ROUND(+F10*G10,0)</f>
        <v>1809456</v>
      </c>
      <c r="I10" s="151"/>
      <c r="J10" s="151"/>
    </row>
    <row r="11" spans="1:10" ht="20.100000000000001" customHeight="1">
      <c r="A11" s="868" t="s">
        <v>216</v>
      </c>
      <c r="B11" s="868" t="s">
        <v>140</v>
      </c>
      <c r="C11" s="869" t="s">
        <v>244</v>
      </c>
      <c r="D11" s="867">
        <f>(7540673+6372792+2833579)/G11</f>
        <v>206218.98780938311</v>
      </c>
      <c r="E11" s="867">
        <v>0</v>
      </c>
      <c r="F11" s="870">
        <f t="shared" si="0"/>
        <v>206218.98780938311</v>
      </c>
      <c r="G11" s="870">
        <f>+'EXHIBIT B'!B15</f>
        <v>81.209999999999994</v>
      </c>
      <c r="H11" s="871">
        <f t="shared" ref="H11:H15" si="1">ROUND(+F11*G11,0)</f>
        <v>16747044</v>
      </c>
      <c r="I11" s="151"/>
      <c r="J11" s="151"/>
    </row>
    <row r="12" spans="1:10" ht="20.100000000000001" customHeight="1">
      <c r="A12" s="868" t="s">
        <v>216</v>
      </c>
      <c r="B12" s="868" t="s">
        <v>141</v>
      </c>
      <c r="C12" s="869" t="s">
        <v>245</v>
      </c>
      <c r="D12" s="867">
        <f>(1068561+1008791+184834)/G12</f>
        <v>27856.002955301072</v>
      </c>
      <c r="E12" s="867">
        <v>0</v>
      </c>
      <c r="F12" s="870">
        <f t="shared" si="0"/>
        <v>27856.002955301072</v>
      </c>
      <c r="G12" s="870">
        <f>+'EXHIBIT B'!B15</f>
        <v>81.209999999999994</v>
      </c>
      <c r="H12" s="871">
        <f t="shared" si="1"/>
        <v>2262186</v>
      </c>
      <c r="I12" s="151"/>
      <c r="J12" s="151"/>
    </row>
    <row r="13" spans="1:10" ht="20.100000000000001" customHeight="1">
      <c r="A13" s="868" t="s">
        <v>216</v>
      </c>
      <c r="B13" s="868" t="s">
        <v>87</v>
      </c>
      <c r="C13" s="869" t="s">
        <v>246</v>
      </c>
      <c r="D13" s="872">
        <f>(16135+33422+17287)/G13</f>
        <v>928.00222129668191</v>
      </c>
      <c r="E13" s="872">
        <v>0</v>
      </c>
      <c r="F13" s="870">
        <f t="shared" si="0"/>
        <v>928.00222129668191</v>
      </c>
      <c r="G13" s="870">
        <f>+'EXHIBIT B'!B16</f>
        <v>72.03</v>
      </c>
      <c r="H13" s="871">
        <f t="shared" si="1"/>
        <v>66844</v>
      </c>
      <c r="I13" s="151"/>
      <c r="J13" s="151"/>
    </row>
    <row r="14" spans="1:10" ht="20.100000000000001" customHeight="1">
      <c r="A14" s="868" t="s">
        <v>216</v>
      </c>
      <c r="B14" s="868" t="s">
        <v>142</v>
      </c>
      <c r="C14" s="869" t="s">
        <v>247</v>
      </c>
      <c r="D14" s="867">
        <f>(220323+125307+34433)/G14</f>
        <v>4680.0024627508928</v>
      </c>
      <c r="E14" s="867">
        <v>0</v>
      </c>
      <c r="F14" s="870">
        <f t="shared" si="0"/>
        <v>4680.0024627508928</v>
      </c>
      <c r="G14" s="870">
        <f>+'EXHIBIT B'!B15</f>
        <v>81.209999999999994</v>
      </c>
      <c r="H14" s="871">
        <f t="shared" si="1"/>
        <v>380063</v>
      </c>
      <c r="I14" s="151"/>
      <c r="J14" s="151"/>
    </row>
    <row r="15" spans="1:10" ht="20.100000000000001" customHeight="1" thickBot="1">
      <c r="A15" s="873" t="s">
        <v>216</v>
      </c>
      <c r="B15" s="873" t="s">
        <v>143</v>
      </c>
      <c r="C15" s="874">
        <v>40160</v>
      </c>
      <c r="D15" s="875">
        <v>0</v>
      </c>
      <c r="E15" s="875">
        <v>0</v>
      </c>
      <c r="F15" s="876">
        <f t="shared" si="0"/>
        <v>0</v>
      </c>
      <c r="G15" s="876">
        <f>+'EXHIBIT B'!B15</f>
        <v>81.209999999999994</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259395.99250723486</v>
      </c>
      <c r="E17" s="389">
        <f>SUM(E10:E15)</f>
        <v>0</v>
      </c>
      <c r="F17" s="390">
        <f>SUM(F10:F15)</f>
        <v>259395.99250723486</v>
      </c>
      <c r="G17" s="390"/>
      <c r="H17" s="391">
        <f>SUM(H10:H15)</f>
        <v>21265593</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02">
        <f>(123761+111999+55232)/E19</f>
        <v>568.99943294030231</v>
      </c>
      <c r="E19" s="880">
        <f>'EXHIBIT B'!C29</f>
        <v>511.41</v>
      </c>
      <c r="F19" s="881">
        <f t="shared" ref="F19:F24" si="2">ROUND(+D19*E19,0)</f>
        <v>290992</v>
      </c>
      <c r="G19" s="393"/>
      <c r="H19" s="393"/>
    </row>
    <row r="20" spans="1:10" ht="20.100000000000001" customHeight="1">
      <c r="A20" s="882" t="s">
        <v>231</v>
      </c>
      <c r="B20" s="882" t="s">
        <v>140</v>
      </c>
      <c r="C20" s="883" t="s">
        <v>251</v>
      </c>
      <c r="D20" s="890">
        <f>(1233821+1053660+396403)/E20</f>
        <v>11008.999548791993</v>
      </c>
      <c r="E20" s="884">
        <f>+'EXHIBIT B'!C30</f>
        <v>243.79</v>
      </c>
      <c r="F20" s="885">
        <f t="shared" si="2"/>
        <v>2683884</v>
      </c>
      <c r="G20" s="394"/>
      <c r="H20" s="394"/>
    </row>
    <row r="21" spans="1:10" ht="20.100000000000001" customHeight="1">
      <c r="A21" s="882" t="s">
        <v>231</v>
      </c>
      <c r="B21" s="882" t="s">
        <v>141</v>
      </c>
      <c r="C21" s="883" t="s">
        <v>252</v>
      </c>
      <c r="D21" s="890">
        <f>(126283+107511+15359)/E21</f>
        <v>1021.9984412814308</v>
      </c>
      <c r="E21" s="884">
        <f>+'EXHIBIT B'!C30</f>
        <v>243.79</v>
      </c>
      <c r="F21" s="885">
        <f t="shared" si="2"/>
        <v>249153</v>
      </c>
      <c r="G21" s="394"/>
      <c r="H21" s="394"/>
    </row>
    <row r="22" spans="1:10" ht="20.100000000000001" customHeight="1">
      <c r="A22" s="882" t="s">
        <v>231</v>
      </c>
      <c r="B22" s="882" t="s">
        <v>87</v>
      </c>
      <c r="C22" s="883" t="s">
        <v>253</v>
      </c>
      <c r="D22" s="890">
        <f>(1729+3457+3889)/E22</f>
        <v>41.998333950388741</v>
      </c>
      <c r="E22" s="884">
        <f>+'EXHIBIT B'!C31</f>
        <v>216.08</v>
      </c>
      <c r="F22" s="885">
        <f t="shared" si="2"/>
        <v>9075</v>
      </c>
      <c r="G22" s="394"/>
      <c r="H22" s="394"/>
    </row>
    <row r="23" spans="1:10" ht="20.100000000000001" customHeight="1">
      <c r="A23" s="882" t="s">
        <v>231</v>
      </c>
      <c r="B23" s="882" t="s">
        <v>142</v>
      </c>
      <c r="C23" s="883" t="s">
        <v>254</v>
      </c>
      <c r="D23" s="890">
        <f>(85814+37787+8776)/E23</f>
        <v>542.99602116575738</v>
      </c>
      <c r="E23" s="884">
        <f>+'EXHIBIT B'!C30</f>
        <v>243.79</v>
      </c>
      <c r="F23" s="885">
        <f t="shared" si="2"/>
        <v>132377</v>
      </c>
      <c r="G23" s="394"/>
      <c r="H23" s="394"/>
    </row>
    <row r="24" spans="1:10" ht="20.100000000000001" customHeight="1" thickBot="1">
      <c r="A24" s="751" t="s">
        <v>231</v>
      </c>
      <c r="B24" s="751" t="s">
        <v>143</v>
      </c>
      <c r="C24" s="752">
        <v>40360</v>
      </c>
      <c r="D24" s="1203">
        <v>0</v>
      </c>
      <c r="E24" s="753">
        <f>+'EXHIBIT B'!C30</f>
        <v>243.79</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13184.991778129872</v>
      </c>
      <c r="E26" s="888"/>
      <c r="F26" s="889">
        <f>SUM(F19:F24)</f>
        <v>3365481</v>
      </c>
      <c r="G26" s="398"/>
      <c r="H26" s="398"/>
    </row>
    <row r="27" spans="1:10" ht="20.100000000000001" customHeight="1" thickBot="1">
      <c r="A27" s="399" t="s">
        <v>255</v>
      </c>
      <c r="B27" s="399"/>
      <c r="C27" s="399"/>
      <c r="D27" s="399"/>
      <c r="E27" s="399"/>
      <c r="F27" s="400"/>
      <c r="G27" s="687"/>
      <c r="H27" s="401">
        <f>H17+F26</f>
        <v>24631074</v>
      </c>
    </row>
    <row r="28" spans="1:10" ht="24.95" customHeight="1">
      <c r="I28" s="213"/>
    </row>
    <row r="29" spans="1:10" ht="24.95" customHeight="1">
      <c r="A29" s="1038" t="s">
        <v>256</v>
      </c>
      <c r="B29" s="1038"/>
      <c r="C29" s="1038"/>
      <c r="D29" s="1038"/>
      <c r="E29" s="1038"/>
      <c r="F29" s="1038"/>
      <c r="G29" s="1038"/>
      <c r="H29" s="1038"/>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43" t="s">
        <v>242</v>
      </c>
      <c r="I31" s="213"/>
    </row>
    <row r="32" spans="1:10" ht="20.100000000000001" customHeight="1">
      <c r="A32" s="688" t="s">
        <v>261</v>
      </c>
      <c r="B32" s="688" t="s">
        <v>262</v>
      </c>
      <c r="C32" s="689" t="s">
        <v>263</v>
      </c>
      <c r="D32" s="690">
        <v>0</v>
      </c>
      <c r="E32" s="690">
        <v>0</v>
      </c>
      <c r="F32" s="691">
        <f>D32-E32</f>
        <v>0</v>
      </c>
      <c r="G32" s="691">
        <f>'EXHIBIT B'!B19</f>
        <v>0</v>
      </c>
      <c r="H32" s="692">
        <f>ROUND(+F32*G32,0)</f>
        <v>0</v>
      </c>
    </row>
    <row r="33" spans="1:12" ht="20.100000000000001" customHeight="1">
      <c r="A33" s="882" t="s">
        <v>261</v>
      </c>
      <c r="B33" s="882" t="s">
        <v>264</v>
      </c>
      <c r="C33" s="883" t="s">
        <v>265</v>
      </c>
      <c r="D33" s="890">
        <v>0</v>
      </c>
      <c r="E33" s="890">
        <v>0</v>
      </c>
      <c r="F33" s="884">
        <f>D33-E33</f>
        <v>0</v>
      </c>
      <c r="G33" s="884">
        <f>'EXHIBIT B'!B20</f>
        <v>0</v>
      </c>
      <c r="H33" s="885">
        <f>ROUND(+F33*G33,0)</f>
        <v>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0</v>
      </c>
      <c r="E36" s="404">
        <f>SUM(E32:E35)</f>
        <v>0</v>
      </c>
      <c r="F36" s="405">
        <f>D36-E36</f>
        <v>0</v>
      </c>
      <c r="G36" s="405"/>
      <c r="H36" s="406">
        <f>SUM(H32:H35)</f>
        <v>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0</v>
      </c>
      <c r="F39" s="692">
        <f>D39*E39</f>
        <v>0</v>
      </c>
      <c r="G39" s="151"/>
      <c r="H39" s="151"/>
    </row>
    <row r="40" spans="1:12" ht="20.100000000000001" customHeight="1">
      <c r="A40" s="882" t="s">
        <v>261</v>
      </c>
      <c r="B40" s="882" t="s">
        <v>264</v>
      </c>
      <c r="C40" s="883">
        <v>40390</v>
      </c>
      <c r="D40" s="890">
        <v>0</v>
      </c>
      <c r="E40" s="884">
        <f>'EXHIBIT B'!B35</f>
        <v>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24631074</v>
      </c>
      <c r="K46" s="19"/>
      <c r="L46" s="19"/>
    </row>
    <row r="47" spans="1:12" ht="24.75" customHeight="1">
      <c r="A47" s="1044"/>
      <c r="B47" s="1044"/>
      <c r="C47" s="1044"/>
      <c r="D47" s="1044"/>
      <c r="E47" s="1044"/>
      <c r="F47" s="1044"/>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35" t="s">
        <v>274</v>
      </c>
      <c r="B50" s="1135"/>
      <c r="C50" s="20"/>
      <c r="D50" s="20"/>
      <c r="E50" s="20"/>
      <c r="F50" s="20"/>
      <c r="G50" s="20"/>
      <c r="H50" s="20"/>
    </row>
    <row r="51" spans="1:10" ht="44.45" customHeight="1" thickBot="1">
      <c r="A51" s="373" t="s">
        <v>275</v>
      </c>
      <c r="B51" s="373" t="s">
        <v>276</v>
      </c>
      <c r="C51" s="1136" t="s">
        <v>277</v>
      </c>
      <c r="D51" s="1137"/>
      <c r="E51" s="1136" t="s">
        <v>278</v>
      </c>
      <c r="F51" s="1137"/>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740</v>
      </c>
      <c r="B54" s="1204">
        <v>0</v>
      </c>
      <c r="C54" s="1206"/>
      <c r="D54" s="1207"/>
      <c r="E54" s="1206"/>
      <c r="F54" s="1207"/>
    </row>
    <row r="55" spans="1:10" ht="24.95" customHeight="1">
      <c r="A55" s="897"/>
      <c r="B55" s="890">
        <v>0</v>
      </c>
      <c r="C55" s="1208"/>
      <c r="D55" s="1209"/>
      <c r="E55" s="1208"/>
      <c r="F55" s="1209"/>
      <c r="J55" s="111"/>
    </row>
    <row r="56" spans="1:10" ht="24.95" customHeight="1">
      <c r="A56" s="897"/>
      <c r="B56" s="890">
        <v>0</v>
      </c>
      <c r="C56" s="1208"/>
      <c r="D56" s="1209"/>
      <c r="E56" s="1208"/>
      <c r="F56" s="1209"/>
      <c r="I56" s="151"/>
    </row>
    <row r="57" spans="1:10" ht="24.95" customHeight="1">
      <c r="A57" s="897"/>
      <c r="B57" s="890">
        <v>0</v>
      </c>
      <c r="C57" s="1208"/>
      <c r="D57" s="1209"/>
      <c r="E57" s="1208"/>
      <c r="F57" s="1209"/>
      <c r="I57" s="151"/>
    </row>
    <row r="58" spans="1:10" ht="24.95" customHeight="1">
      <c r="A58" s="897"/>
      <c r="B58" s="890">
        <v>0</v>
      </c>
      <c r="C58" s="1208"/>
      <c r="D58" s="1209"/>
      <c r="E58" s="1208"/>
      <c r="F58" s="1209"/>
      <c r="I58" s="151"/>
    </row>
    <row r="59" spans="1:10" ht="24.95" customHeight="1" thickBot="1">
      <c r="A59" s="755"/>
      <c r="B59" s="756">
        <v>0</v>
      </c>
      <c r="C59" s="1210"/>
      <c r="D59" s="1211"/>
      <c r="E59" s="1212"/>
      <c r="F59" s="1213"/>
      <c r="I59" s="151"/>
      <c r="J59" s="113"/>
    </row>
    <row r="60" spans="1:10" ht="24.95" customHeight="1" thickBot="1">
      <c r="A60" s="377" t="s">
        <v>279</v>
      </c>
      <c r="B60" s="378">
        <f>SUM(B54:B59)</f>
        <v>0</v>
      </c>
      <c r="C60" s="1214"/>
      <c r="D60" s="1215"/>
      <c r="E60" s="1214"/>
      <c r="F60" s="1215"/>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741</v>
      </c>
      <c r="B63" s="1205">
        <v>113000</v>
      </c>
      <c r="C63" s="1206" t="s">
        <v>792</v>
      </c>
      <c r="D63" s="1207"/>
      <c r="E63" s="1206" t="s">
        <v>793</v>
      </c>
      <c r="F63" s="1207"/>
      <c r="I63" s="151"/>
    </row>
    <row r="64" spans="1:10" ht="24.95" customHeight="1">
      <c r="A64" s="897"/>
      <c r="B64" s="890">
        <v>0</v>
      </c>
      <c r="C64" s="1208"/>
      <c r="D64" s="1209"/>
      <c r="E64" s="1208"/>
      <c r="F64" s="1209"/>
      <c r="I64" s="151"/>
    </row>
    <row r="65" spans="1:9" ht="24.95" customHeight="1">
      <c r="A65" s="897"/>
      <c r="B65" s="890">
        <v>0</v>
      </c>
      <c r="C65" s="1208"/>
      <c r="D65" s="1209"/>
      <c r="E65" s="1208"/>
      <c r="F65" s="1209"/>
      <c r="I65" s="151"/>
    </row>
    <row r="66" spans="1:9" ht="24.95" customHeight="1">
      <c r="A66" s="897"/>
      <c r="B66" s="890">
        <v>0</v>
      </c>
      <c r="C66" s="1208"/>
      <c r="D66" s="1209"/>
      <c r="E66" s="1208"/>
      <c r="F66" s="1209"/>
      <c r="I66" s="151"/>
    </row>
    <row r="67" spans="1:9" ht="24.95" customHeight="1">
      <c r="A67" s="897"/>
      <c r="B67" s="890">
        <v>0</v>
      </c>
      <c r="C67" s="1208"/>
      <c r="D67" s="1209"/>
      <c r="E67" s="1208"/>
      <c r="F67" s="1209"/>
    </row>
    <row r="68" spans="1:9" ht="24.95" customHeight="1" thickBot="1">
      <c r="A68" s="755"/>
      <c r="B68" s="756">
        <v>0</v>
      </c>
      <c r="C68" s="1212"/>
      <c r="D68" s="1213"/>
      <c r="E68" s="1212"/>
      <c r="F68" s="1213"/>
    </row>
    <row r="69" spans="1:9" ht="24.95" customHeight="1" thickBot="1">
      <c r="A69" s="377" t="s">
        <v>280</v>
      </c>
      <c r="B69" s="378">
        <f>SUM(B63:B68)</f>
        <v>113000</v>
      </c>
      <c r="C69" s="1216"/>
      <c r="D69" s="1217"/>
      <c r="E69" s="1216"/>
      <c r="F69" s="1217"/>
    </row>
    <row r="70" spans="1:9" ht="24.95" customHeight="1" thickBot="1">
      <c r="A70" s="377" t="s">
        <v>281</v>
      </c>
      <c r="B70" s="378">
        <f>+B69+B60</f>
        <v>113000</v>
      </c>
      <c r="C70" s="1216"/>
      <c r="D70" s="1217"/>
      <c r="E70" s="1218"/>
      <c r="F70" s="121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34" t="s">
        <v>282</v>
      </c>
      <c r="F1" s="371"/>
      <c r="AI1" s="24"/>
    </row>
    <row r="2" spans="1:47" s="37" customFormat="1" ht="24" customHeight="1">
      <c r="A2" s="371"/>
      <c r="B2" s="371"/>
      <c r="C2" s="371"/>
      <c r="D2" s="371"/>
      <c r="E2" s="371"/>
      <c r="F2" s="371"/>
      <c r="AI2" s="24"/>
    </row>
    <row r="3" spans="1:47" s="37" customFormat="1" ht="24" customHeight="1">
      <c r="A3" s="1126" t="s">
        <v>11</v>
      </c>
      <c r="B3" s="1126"/>
      <c r="C3" s="1126"/>
      <c r="D3" s="1126"/>
      <c r="E3" s="1126"/>
      <c r="F3" s="371"/>
    </row>
    <row r="4" spans="1:47" s="37" customFormat="1" ht="23.45" customHeight="1">
      <c r="A4" s="1126" t="s">
        <v>283</v>
      </c>
      <c r="B4" s="1126"/>
      <c r="C4" s="1126"/>
      <c r="D4" s="1126"/>
      <c r="E4" s="1126"/>
      <c r="F4" s="371"/>
    </row>
    <row r="5" spans="1:47" s="37" customFormat="1" ht="23.1" customHeight="1">
      <c r="A5" s="1125"/>
      <c r="B5" s="1125"/>
      <c r="C5" s="1125"/>
      <c r="D5" s="1125"/>
      <c r="E5" s="1125"/>
      <c r="F5" s="371"/>
    </row>
    <row r="6" spans="1:47" s="37" customFormat="1" ht="24.95" customHeight="1">
      <c r="A6" s="1129"/>
      <c r="B6" s="1129"/>
      <c r="C6" s="1129"/>
      <c r="D6" s="1129"/>
      <c r="E6" s="1129"/>
      <c r="F6" s="371"/>
    </row>
    <row r="7" spans="1:47" s="37" customFormat="1" ht="24.95" customHeight="1" thickBot="1">
      <c r="A7" s="1125" t="s">
        <v>234</v>
      </c>
      <c r="B7" s="1130" t="str">
        <f>'CHECK SHEET'!D7</f>
        <v>Florida SouthWestern State College</v>
      </c>
      <c r="C7" s="1130"/>
      <c r="D7" s="1130"/>
      <c r="E7" s="1130"/>
      <c r="F7" s="1040"/>
    </row>
    <row r="8" spans="1:47" s="37" customFormat="1" ht="24.95" customHeight="1">
      <c r="A8" s="1138"/>
      <c r="B8" s="1138"/>
      <c r="C8" s="1138"/>
      <c r="D8" s="1138"/>
      <c r="E8" s="1138"/>
    </row>
    <row r="9" spans="1:47" s="37" customFormat="1" ht="24.95" customHeight="1">
      <c r="A9" s="1139"/>
      <c r="B9" s="1140"/>
      <c r="C9" s="1140"/>
      <c r="D9" s="1140"/>
      <c r="E9" s="1140"/>
    </row>
    <row r="10" spans="1:47" s="37" customFormat="1" ht="42.6" customHeight="1">
      <c r="A10" s="1141" t="s">
        <v>284</v>
      </c>
      <c r="B10" s="1141"/>
      <c r="C10" s="1141"/>
      <c r="D10" s="1141"/>
      <c r="E10" s="1141"/>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20"/>
      <c r="E19" s="1221"/>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45"/>
      <c r="B33" s="1046"/>
      <c r="C33" s="1046"/>
      <c r="D33" s="1046"/>
      <c r="E33" s="1047"/>
      <c r="AI33" s="221"/>
    </row>
    <row r="34" spans="1:46" ht="24.95" customHeight="1">
      <c r="A34" s="1048"/>
      <c r="B34" s="1049"/>
      <c r="C34" s="1049"/>
      <c r="D34" s="1049"/>
      <c r="E34" s="1050"/>
      <c r="AI34" s="221"/>
    </row>
    <row r="35" spans="1:46" s="548" customFormat="1" ht="24.95" customHeight="1">
      <c r="A35" s="1048"/>
      <c r="B35" s="1049"/>
      <c r="C35" s="1049"/>
      <c r="D35" s="1049"/>
      <c r="E35" s="1050"/>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48"/>
      <c r="B36" s="1049"/>
      <c r="C36" s="1049"/>
      <c r="D36" s="1049"/>
      <c r="E36" s="1050"/>
      <c r="AI36" s="221"/>
    </row>
    <row r="37" spans="1:46" ht="24.95" customHeight="1" thickBot="1">
      <c r="A37" s="1051"/>
      <c r="B37" s="1052"/>
      <c r="C37" s="1052"/>
      <c r="D37" s="1052"/>
      <c r="E37" s="1053"/>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8"/>
  <sheetViews>
    <sheetView showGridLines="0" view="pageBreakPreview" topLeftCell="A235" zoomScale="70" zoomScaleNormal="70" zoomScaleSheetLayoutView="70" zoomScalePageLayoutView="70" workbookViewId="0">
      <selection activeCell="L262" sqref="L262"/>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42"/>
      <c r="B1" s="1142"/>
      <c r="C1" s="1142"/>
      <c r="D1" s="1142"/>
      <c r="E1" s="1142"/>
      <c r="F1" s="1142"/>
      <c r="G1" s="1143"/>
    </row>
    <row r="2" spans="1:8" ht="30" customHeight="1" thickBot="1">
      <c r="A2" s="1143" t="s">
        <v>194</v>
      </c>
      <c r="B2" s="1130" t="str">
        <f>'CHECK SHEET'!D7</f>
        <v>Florida SouthWestern State College</v>
      </c>
      <c r="C2" s="1130"/>
      <c r="D2" s="1130"/>
      <c r="E2" s="1130"/>
      <c r="F2" s="1130"/>
      <c r="G2" s="1144"/>
    </row>
    <row r="3" spans="1:8" ht="23.1" customHeight="1">
      <c r="A3" s="1126" t="s">
        <v>292</v>
      </c>
      <c r="B3" s="1126"/>
      <c r="C3" s="1126"/>
      <c r="D3" s="1126"/>
      <c r="E3" s="1126"/>
      <c r="F3" s="1126"/>
      <c r="G3" s="1126"/>
    </row>
    <row r="4" spans="1:8" ht="23.45" customHeight="1">
      <c r="A4" s="1126" t="s">
        <v>293</v>
      </c>
      <c r="B4" s="1126"/>
      <c r="C4" s="1126"/>
      <c r="D4" s="1126"/>
      <c r="E4" s="1126"/>
      <c r="F4" s="1126"/>
      <c r="G4" s="1126"/>
    </row>
    <row r="5" spans="1:8" ht="23.45" customHeight="1">
      <c r="A5" s="1126" t="s">
        <v>782</v>
      </c>
      <c r="B5" s="1126"/>
      <c r="C5" s="1126"/>
      <c r="D5" s="1126"/>
      <c r="E5" s="1126"/>
      <c r="F5" s="1126"/>
      <c r="G5" s="1126"/>
    </row>
    <row r="6" spans="1:8" ht="20.100000000000001" customHeight="1">
      <c r="A6" s="1145"/>
      <c r="B6" s="1145"/>
      <c r="C6" s="1145"/>
      <c r="D6" s="1145"/>
      <c r="E6" s="1145"/>
      <c r="F6" s="1145"/>
      <c r="G6" s="1145"/>
    </row>
    <row r="7" spans="1:8" ht="38.450000000000003" customHeight="1">
      <c r="A7" s="1146" t="s">
        <v>294</v>
      </c>
      <c r="B7" s="1146"/>
      <c r="C7" s="1146"/>
      <c r="D7" s="1146"/>
      <c r="E7" s="1146"/>
      <c r="F7" s="1146"/>
      <c r="G7" s="1146"/>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1809456</v>
      </c>
      <c r="H12" s="222"/>
    </row>
    <row r="13" spans="1:8" ht="20.100000000000001" customHeight="1">
      <c r="A13" s="629" t="s">
        <v>216</v>
      </c>
      <c r="B13" s="229"/>
      <c r="C13" s="222" t="s">
        <v>140</v>
      </c>
      <c r="D13" s="229"/>
      <c r="E13" s="229"/>
      <c r="F13" s="235" t="s">
        <v>244</v>
      </c>
      <c r="G13" s="234">
        <f>+'EXHIBIT C'!H11+'EXHIBIT C(2)'!E14</f>
        <v>16747044</v>
      </c>
      <c r="H13" s="222"/>
    </row>
    <row r="14" spans="1:8" ht="20.100000000000001" customHeight="1">
      <c r="A14" s="629" t="s">
        <v>216</v>
      </c>
      <c r="B14" s="229"/>
      <c r="C14" s="229" t="s">
        <v>141</v>
      </c>
      <c r="D14" s="229"/>
      <c r="E14" s="229"/>
      <c r="F14" s="235" t="s">
        <v>245</v>
      </c>
      <c r="G14" s="653">
        <f>+'EXHIBIT C'!H12+'EXHIBIT C(2)'!E15</f>
        <v>2262186</v>
      </c>
      <c r="H14" s="222"/>
    </row>
    <row r="15" spans="1:8" ht="20.100000000000001" customHeight="1">
      <c r="A15" s="629" t="s">
        <v>216</v>
      </c>
      <c r="B15" s="229"/>
      <c r="C15" s="236" t="s">
        <v>298</v>
      </c>
      <c r="D15" s="229"/>
      <c r="E15" s="229"/>
      <c r="F15" s="235" t="s">
        <v>246</v>
      </c>
      <c r="G15" s="653">
        <f>+'EXHIBIT C'!H13+'EXHIBIT C(2)'!E16</f>
        <v>66844</v>
      </c>
      <c r="H15" s="222"/>
    </row>
    <row r="16" spans="1:8" ht="20.100000000000001" customHeight="1">
      <c r="A16" s="629" t="s">
        <v>216</v>
      </c>
      <c r="B16" s="229"/>
      <c r="C16" s="236" t="s">
        <v>299</v>
      </c>
      <c r="D16" s="229"/>
      <c r="E16" s="229"/>
      <c r="F16" s="235" t="s">
        <v>247</v>
      </c>
      <c r="G16" s="654">
        <f>+'EXHIBIT C'!H14+'EXHIBIT C(2)'!E17</f>
        <v>380063</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21265593</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290992</v>
      </c>
      <c r="H21" s="666"/>
    </row>
    <row r="22" spans="1:8" ht="20.100000000000001" customHeight="1">
      <c r="A22" s="630" t="s">
        <v>231</v>
      </c>
      <c r="B22" s="229"/>
      <c r="C22" s="222" t="s">
        <v>140</v>
      </c>
      <c r="D22" s="229"/>
      <c r="E22" s="229"/>
      <c r="F22" s="235" t="s">
        <v>251</v>
      </c>
      <c r="G22" s="240">
        <f>+'EXHIBIT C'!F20+'EXHIBIT C(2)'!E23</f>
        <v>2683884</v>
      </c>
      <c r="H22" s="222"/>
    </row>
    <row r="23" spans="1:8" ht="20.100000000000001" customHeight="1">
      <c r="A23" s="630" t="s">
        <v>231</v>
      </c>
      <c r="B23" s="229"/>
      <c r="C23" s="229" t="s">
        <v>141</v>
      </c>
      <c r="D23" s="229"/>
      <c r="E23" s="229"/>
      <c r="F23" s="235" t="s">
        <v>252</v>
      </c>
      <c r="G23" s="245">
        <f>+'EXHIBIT C'!F21+'EXHIBIT C(2)'!E24</f>
        <v>249153</v>
      </c>
      <c r="H23" s="222"/>
    </row>
    <row r="24" spans="1:8" ht="20.100000000000001" customHeight="1">
      <c r="A24" s="630" t="s">
        <v>231</v>
      </c>
      <c r="B24" s="229"/>
      <c r="C24" s="236" t="s">
        <v>298</v>
      </c>
      <c r="D24" s="229"/>
      <c r="E24" s="229"/>
      <c r="F24" s="235" t="s">
        <v>253</v>
      </c>
      <c r="G24" s="245">
        <f>+'EXHIBIT C'!F22+'EXHIBIT C(2)'!E25</f>
        <v>9075</v>
      </c>
      <c r="H24" s="222"/>
    </row>
    <row r="25" spans="1:8" ht="20.100000000000001" customHeight="1">
      <c r="A25" s="630" t="s">
        <v>231</v>
      </c>
      <c r="B25" s="229"/>
      <c r="C25" s="236" t="s">
        <v>299</v>
      </c>
      <c r="D25" s="229"/>
      <c r="E25" s="229"/>
      <c r="F25" s="235" t="s">
        <v>254</v>
      </c>
      <c r="G25" s="245">
        <f>+'EXHIBIT C'!F23+'EXHIBIT C(2)'!E26</f>
        <v>132377</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3365481</v>
      </c>
      <c r="H28" s="222"/>
    </row>
    <row r="29" spans="1:8" ht="20.100000000000001" customHeight="1">
      <c r="A29" s="629"/>
      <c r="B29" s="229"/>
      <c r="C29" s="229"/>
      <c r="D29" s="229"/>
      <c r="E29" s="229"/>
      <c r="F29" s="235"/>
      <c r="G29" s="242"/>
      <c r="H29" s="222"/>
    </row>
    <row r="30" spans="1:8" ht="20.100000000000001" customHeight="1">
      <c r="A30" s="629" t="s">
        <v>302</v>
      </c>
      <c r="B30" s="229"/>
      <c r="C30" s="1055" t="s">
        <v>262</v>
      </c>
      <c r="D30" s="1055"/>
      <c r="E30" s="1055"/>
      <c r="F30" s="235" t="s">
        <v>263</v>
      </c>
      <c r="G30" s="243">
        <f>'EXHIBIT C'!H32</f>
        <v>0</v>
      </c>
      <c r="H30" s="222"/>
    </row>
    <row r="31" spans="1:8" ht="20.100000000000001" customHeight="1">
      <c r="A31" s="629" t="s">
        <v>302</v>
      </c>
      <c r="B31" s="229"/>
      <c r="C31" s="222" t="s">
        <v>264</v>
      </c>
      <c r="D31" s="229"/>
      <c r="E31" s="229"/>
      <c r="F31" s="235" t="s">
        <v>265</v>
      </c>
      <c r="G31" s="243">
        <f>'EXHIBIT C'!H33</f>
        <v>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56" t="s">
        <v>264</v>
      </c>
      <c r="D38" s="1056"/>
      <c r="E38" s="1056"/>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56" t="s">
        <v>264</v>
      </c>
      <c r="D40" s="1056"/>
      <c r="E40" s="1056"/>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24631074</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0</v>
      </c>
      <c r="H47" s="666"/>
    </row>
    <row r="48" spans="1:8" ht="20.100000000000001" customHeight="1">
      <c r="A48" s="629" t="s">
        <v>313</v>
      </c>
      <c r="B48" s="222"/>
      <c r="C48" s="246"/>
      <c r="D48" s="246"/>
      <c r="E48" s="246"/>
      <c r="F48" s="247" t="s">
        <v>314</v>
      </c>
      <c r="G48" s="572">
        <f>208278+166257+1827+2436+2842+1218+812+609+225533-215126</f>
        <v>394686</v>
      </c>
      <c r="H48" s="666"/>
    </row>
    <row r="49" spans="1:8" ht="20.100000000000001" customHeight="1">
      <c r="A49" s="629" t="s">
        <v>315</v>
      </c>
      <c r="B49" s="229"/>
      <c r="C49" s="229"/>
      <c r="D49" s="229"/>
      <c r="E49" s="229"/>
      <c r="F49" s="248" t="s">
        <v>316</v>
      </c>
      <c r="G49" s="572">
        <v>0</v>
      </c>
      <c r="H49" s="222"/>
    </row>
    <row r="50" spans="1:8" ht="20.100000000000001" customHeight="1">
      <c r="A50" s="629" t="s">
        <v>317</v>
      </c>
      <c r="B50" s="229"/>
      <c r="C50" s="229"/>
      <c r="D50" s="229"/>
      <c r="E50" s="229"/>
      <c r="F50" s="248" t="s">
        <v>318</v>
      </c>
      <c r="G50" s="572">
        <f>4142679-1650000</f>
        <v>2492679</v>
      </c>
      <c r="H50" s="222"/>
    </row>
    <row r="51" spans="1:8" ht="20.100000000000001" customHeight="1">
      <c r="A51" s="629" t="s">
        <v>319</v>
      </c>
      <c r="B51" s="229"/>
      <c r="C51" s="229"/>
      <c r="D51" s="229"/>
      <c r="E51" s="229"/>
      <c r="F51" s="233">
        <v>40450</v>
      </c>
      <c r="G51" s="572">
        <v>1650000</v>
      </c>
      <c r="H51" s="222"/>
    </row>
    <row r="52" spans="1:8" ht="20.100000000000001" customHeight="1">
      <c r="A52" s="629" t="s">
        <v>320</v>
      </c>
      <c r="B52" s="229"/>
      <c r="C52" s="229"/>
      <c r="D52" s="229"/>
      <c r="E52" s="229"/>
      <c r="F52" s="248" t="s">
        <v>321</v>
      </c>
      <c r="G52" s="572">
        <f>153120-54017+43245</f>
        <v>142348</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0</v>
      </c>
      <c r="H55" s="222"/>
    </row>
    <row r="56" spans="1:8" ht="20.100000000000001" customHeight="1">
      <c r="A56" s="630" t="s">
        <v>328</v>
      </c>
      <c r="B56" s="232"/>
      <c r="C56" s="232"/>
      <c r="D56" s="232"/>
      <c r="E56" s="232"/>
      <c r="F56" s="248" t="s">
        <v>329</v>
      </c>
      <c r="G56" s="572">
        <f>29918-10555</f>
        <v>19363</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f>537792+459064+202769-423197</f>
        <v>776428</v>
      </c>
      <c r="H58" s="222"/>
    </row>
    <row r="59" spans="1:8" ht="20.100000000000001" customHeight="1">
      <c r="A59" s="630" t="s">
        <v>334</v>
      </c>
      <c r="B59" s="232"/>
      <c r="C59" s="232"/>
      <c r="D59" s="232"/>
      <c r="E59" s="232"/>
      <c r="F59" s="248" t="s">
        <v>335</v>
      </c>
      <c r="G59" s="572">
        <f>23591+4325+1070+14465+833042+59416+61230+43964+1110+1272+710-368365+8560+587151</f>
        <v>1271541</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f>81469-28740</f>
        <v>52729</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31430848</v>
      </c>
      <c r="H63" s="222"/>
    </row>
    <row r="64" spans="1:8" ht="20.100000000000001" customHeight="1">
      <c r="A64" s="629"/>
      <c r="B64" s="229"/>
      <c r="C64" s="229"/>
      <c r="D64" s="229"/>
      <c r="E64" s="229"/>
      <c r="F64" s="235"/>
      <c r="G64" s="241"/>
      <c r="H64" s="222"/>
    </row>
    <row r="65" spans="1:8" ht="20.100000000000001" customHeight="1">
      <c r="A65" s="1057" t="s">
        <v>341</v>
      </c>
      <c r="B65" s="1058"/>
      <c r="C65" s="1058"/>
      <c r="D65" s="1058"/>
      <c r="E65" s="1058"/>
      <c r="F65" s="1059"/>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2495619</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2495619</v>
      </c>
      <c r="H71" s="222"/>
    </row>
    <row r="72" spans="1:8" ht="20.100000000000001" customHeight="1">
      <c r="A72" s="910"/>
      <c r="B72" s="712"/>
      <c r="C72" s="712"/>
      <c r="D72" s="712"/>
      <c r="E72" s="712"/>
      <c r="F72" s="713"/>
      <c r="G72" s="911"/>
      <c r="H72" s="222"/>
    </row>
    <row r="73" spans="1:8" ht="20.100000000000001" customHeight="1">
      <c r="A73" s="1057" t="s">
        <v>349</v>
      </c>
      <c r="B73" s="1058"/>
      <c r="C73" s="1058"/>
      <c r="D73" s="1058"/>
      <c r="E73" s="1058"/>
      <c r="F73" s="1059"/>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31271582</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702868</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5000</v>
      </c>
      <c r="H79" s="222"/>
    </row>
    <row r="80" spans="1:8" ht="20.100000000000001" customHeight="1">
      <c r="A80" s="629" t="s">
        <v>359</v>
      </c>
      <c r="B80" s="229"/>
      <c r="C80" s="229"/>
      <c r="D80" s="229"/>
      <c r="E80" s="229"/>
      <c r="F80" s="235" t="s">
        <v>360</v>
      </c>
      <c r="G80" s="656">
        <v>245304</v>
      </c>
      <c r="H80" s="222"/>
    </row>
    <row r="81" spans="1:10" ht="20.100000000000001" customHeight="1">
      <c r="A81" s="629" t="s">
        <v>361</v>
      </c>
      <c r="B81" s="229"/>
      <c r="C81" s="229"/>
      <c r="D81" s="229"/>
      <c r="E81" s="229"/>
      <c r="F81" s="235" t="s">
        <v>362</v>
      </c>
      <c r="G81" s="655">
        <f>'CHECK SHEET'!D104</f>
        <v>5649896</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f>45000+46774</f>
        <v>91774</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37966424</v>
      </c>
      <c r="H85" s="222"/>
    </row>
    <row r="86" spans="1:10" ht="20.100000000000001" customHeight="1">
      <c r="A86" s="910"/>
      <c r="B86" s="712"/>
      <c r="C86" s="712"/>
      <c r="D86" s="712"/>
      <c r="E86" s="712"/>
      <c r="F86" s="713"/>
      <c r="G86" s="911"/>
      <c r="H86" s="222"/>
    </row>
    <row r="87" spans="1:10" ht="20.100000000000001" customHeight="1">
      <c r="A87" s="1060" t="s">
        <v>368</v>
      </c>
      <c r="B87" s="1061"/>
      <c r="C87" s="1061"/>
      <c r="D87" s="1061"/>
      <c r="E87" s="1061"/>
      <c r="F87" s="1062"/>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44">
        <v>43518</v>
      </c>
      <c r="G90" s="658">
        <v>0</v>
      </c>
      <c r="H90" s="222"/>
      <c r="J90" s="252"/>
    </row>
    <row r="91" spans="1:10" ht="20.100000000000001" customHeight="1">
      <c r="A91" s="630" t="s">
        <v>372</v>
      </c>
      <c r="B91" s="232"/>
      <c r="C91" s="232"/>
      <c r="D91" s="232"/>
      <c r="E91" s="232"/>
      <c r="F91" s="1244">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35000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35000</v>
      </c>
      <c r="H96" s="222"/>
    </row>
    <row r="97" spans="1:8" ht="20.100000000000001" customHeight="1">
      <c r="A97" s="629"/>
      <c r="B97" s="229"/>
      <c r="C97" s="229"/>
      <c r="D97" s="229"/>
      <c r="E97" s="229"/>
      <c r="F97" s="235"/>
      <c r="G97" s="254"/>
      <c r="H97" s="222"/>
    </row>
    <row r="98" spans="1:8" ht="20.100000000000001" customHeight="1">
      <c r="A98" s="1063" t="s">
        <v>376</v>
      </c>
      <c r="B98" s="1064"/>
      <c r="C98" s="1064"/>
      <c r="D98" s="1064"/>
      <c r="E98" s="1064"/>
      <c r="F98" s="1065"/>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1296945</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1296945</v>
      </c>
      <c r="H105" s="222"/>
    </row>
    <row r="106" spans="1:8" ht="20.100000000000001" customHeight="1">
      <c r="A106" s="629"/>
      <c r="B106" s="229"/>
      <c r="C106" s="229"/>
      <c r="D106" s="229"/>
      <c r="E106" s="229"/>
      <c r="F106" s="235"/>
      <c r="G106" s="254"/>
      <c r="H106" s="222"/>
    </row>
    <row r="107" spans="1:8" ht="20.100000000000001" customHeight="1">
      <c r="A107" s="1057" t="s">
        <v>385</v>
      </c>
      <c r="B107" s="1058"/>
      <c r="C107" s="1058"/>
      <c r="D107" s="1058"/>
      <c r="E107" s="1058"/>
      <c r="F107" s="1059"/>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0</v>
      </c>
      <c r="H110" s="222"/>
    </row>
    <row r="111" spans="1:8" ht="20.100000000000001" customHeight="1">
      <c r="A111" s="629" t="s">
        <v>390</v>
      </c>
      <c r="B111" s="229"/>
      <c r="C111" s="229"/>
      <c r="D111" s="229"/>
      <c r="E111" s="229"/>
      <c r="F111" s="235" t="s">
        <v>391</v>
      </c>
      <c r="G111" s="573">
        <f>509860+298743+95000</f>
        <v>903603</v>
      </c>
      <c r="H111" s="222"/>
    </row>
    <row r="112" spans="1:8" ht="20.100000000000001" customHeight="1">
      <c r="A112" s="629" t="s">
        <v>392</v>
      </c>
      <c r="B112" s="229"/>
      <c r="C112" s="229"/>
      <c r="D112" s="229"/>
      <c r="E112" s="229"/>
      <c r="F112" s="235" t="s">
        <v>393</v>
      </c>
      <c r="G112" s="573">
        <v>0</v>
      </c>
      <c r="H112" s="222"/>
    </row>
    <row r="113" spans="1:8" ht="20.100000000000001" customHeight="1">
      <c r="A113" s="629" t="s">
        <v>394</v>
      </c>
      <c r="B113" s="229"/>
      <c r="C113" s="229"/>
      <c r="D113" s="229"/>
      <c r="E113" s="229"/>
      <c r="F113" s="235" t="s">
        <v>395</v>
      </c>
      <c r="G113" s="1222">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903603</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63" t="s">
        <v>400</v>
      </c>
      <c r="B121" s="1064"/>
      <c r="C121" s="1064"/>
      <c r="D121" s="1064"/>
      <c r="E121" s="1064"/>
      <c r="F121" s="1065"/>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f>125286-58293</f>
        <v>66993</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54774</v>
      </c>
      <c r="H125" s="222"/>
    </row>
    <row r="126" spans="1:8" ht="20.100000000000001" customHeight="1">
      <c r="A126" s="629" t="s">
        <v>407</v>
      </c>
      <c r="B126" s="229"/>
      <c r="C126" s="229"/>
      <c r="D126" s="229"/>
      <c r="E126" s="229"/>
      <c r="F126" s="235" t="s">
        <v>408</v>
      </c>
      <c r="G126" s="573">
        <v>39129</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160896</v>
      </c>
      <c r="H128" s="222"/>
    </row>
    <row r="129" spans="1:8" ht="20.100000000000001" customHeight="1">
      <c r="A129" s="629"/>
      <c r="B129" s="229"/>
      <c r="C129" s="229"/>
      <c r="D129" s="229"/>
      <c r="E129" s="229"/>
      <c r="F129" s="235"/>
      <c r="G129" s="254"/>
      <c r="H129" s="222"/>
    </row>
    <row r="130" spans="1:8" ht="20.100000000000001" customHeight="1">
      <c r="A130" s="1057" t="s">
        <v>410</v>
      </c>
      <c r="B130" s="1058"/>
      <c r="C130" s="1058"/>
      <c r="D130" s="1058"/>
      <c r="E130" s="1058"/>
      <c r="F130" s="1059"/>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113000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f>3353072-70550</f>
        <v>3282522</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3395522</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77684857</v>
      </c>
      <c r="H143" s="222"/>
    </row>
    <row r="144" spans="1:8" ht="20.100000000000001" customHeight="1" thickTop="1">
      <c r="A144" s="910"/>
      <c r="B144" s="712"/>
      <c r="C144" s="712"/>
      <c r="D144" s="712"/>
      <c r="E144" s="712"/>
      <c r="F144" s="788"/>
      <c r="G144" s="789"/>
      <c r="H144" s="222"/>
    </row>
    <row r="145" spans="1:8" ht="20.100000000000001" customHeight="1">
      <c r="A145" s="1057" t="s">
        <v>426</v>
      </c>
      <c r="B145" s="1058"/>
      <c r="C145" s="1058"/>
      <c r="D145" s="1058"/>
      <c r="E145" s="1058"/>
      <c r="F145" s="1059"/>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v>2363615</v>
      </c>
      <c r="H147" s="222"/>
    </row>
    <row r="148" spans="1:8" ht="20.100000000000001" customHeight="1">
      <c r="A148" s="629" t="s">
        <v>429</v>
      </c>
      <c r="B148" s="222"/>
      <c r="C148" s="222"/>
      <c r="D148" s="222"/>
      <c r="E148" s="222"/>
      <c r="F148" s="235" t="s">
        <v>430</v>
      </c>
      <c r="G148" s="577">
        <v>986288</v>
      </c>
      <c r="H148" s="222"/>
    </row>
    <row r="149" spans="1:8" ht="20.100000000000001" customHeight="1">
      <c r="A149" s="629" t="s">
        <v>431</v>
      </c>
      <c r="B149" s="222"/>
      <c r="C149" s="222"/>
      <c r="D149" s="222"/>
      <c r="E149" s="222"/>
      <c r="F149" s="235" t="s">
        <v>432</v>
      </c>
      <c r="G149" s="577">
        <v>2896663</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f>12798486+514814+1560830</f>
        <v>14874130</v>
      </c>
      <c r="H152" s="222"/>
    </row>
    <row r="153" spans="1:8" ht="20.100000000000001" customHeight="1">
      <c r="A153" s="629" t="s">
        <v>439</v>
      </c>
      <c r="B153" s="229"/>
      <c r="C153" s="229"/>
      <c r="D153" s="229"/>
      <c r="E153" s="229"/>
      <c r="F153" s="235" t="s">
        <v>440</v>
      </c>
      <c r="G153" s="577">
        <v>2736133</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581442</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93805</v>
      </c>
      <c r="H161" s="222"/>
    </row>
    <row r="162" spans="1:8" ht="20.100000000000001" customHeight="1">
      <c r="A162" s="629" t="s">
        <v>456</v>
      </c>
      <c r="B162" s="229"/>
      <c r="C162" s="229"/>
      <c r="D162" s="229"/>
      <c r="E162" s="229"/>
      <c r="F162" s="235" t="s">
        <v>457</v>
      </c>
      <c r="G162" s="577">
        <v>10483845</v>
      </c>
      <c r="H162" s="222"/>
    </row>
    <row r="163" spans="1:8" ht="20.100000000000001" customHeight="1">
      <c r="A163" s="629" t="s">
        <v>458</v>
      </c>
      <c r="B163" s="229"/>
      <c r="C163" s="229"/>
      <c r="D163" s="229"/>
      <c r="E163" s="229"/>
      <c r="F163" s="235" t="s">
        <v>459</v>
      </c>
      <c r="G163" s="577">
        <v>399072</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75916</v>
      </c>
      <c r="H166" s="222"/>
    </row>
    <row r="167" spans="1:8" ht="20.100000000000001" customHeight="1">
      <c r="A167" s="629" t="s">
        <v>466</v>
      </c>
      <c r="B167" s="229"/>
      <c r="C167" s="229"/>
      <c r="D167" s="229"/>
      <c r="E167" s="229"/>
      <c r="F167" s="235" t="s">
        <v>467</v>
      </c>
      <c r="G167" s="577">
        <v>4520342</v>
      </c>
      <c r="H167" s="222"/>
    </row>
    <row r="168" spans="1:8" ht="20.100000000000001" customHeight="1">
      <c r="A168" s="629" t="s">
        <v>468</v>
      </c>
      <c r="B168" s="229"/>
      <c r="C168" s="229"/>
      <c r="D168" s="229"/>
      <c r="E168" s="229"/>
      <c r="F168" s="235" t="s">
        <v>469</v>
      </c>
      <c r="G168" s="577">
        <v>5000</v>
      </c>
      <c r="H168" s="222"/>
    </row>
    <row r="169" spans="1:8" ht="20.100000000000001" customHeight="1">
      <c r="A169" s="629" t="s">
        <v>470</v>
      </c>
      <c r="B169" s="229"/>
      <c r="C169" s="229"/>
      <c r="D169" s="229"/>
      <c r="E169" s="229"/>
      <c r="F169" s="235" t="s">
        <v>471</v>
      </c>
      <c r="G169" s="577">
        <v>210333</v>
      </c>
      <c r="H169" s="222"/>
    </row>
    <row r="170" spans="1:8" ht="20.100000000000001" customHeight="1">
      <c r="A170" s="629" t="s">
        <v>472</v>
      </c>
      <c r="B170" s="229"/>
      <c r="C170" s="229"/>
      <c r="D170" s="229"/>
      <c r="E170" s="229"/>
      <c r="F170" s="235" t="s">
        <v>473</v>
      </c>
      <c r="G170" s="577">
        <v>0</v>
      </c>
      <c r="H170" s="222"/>
    </row>
    <row r="171" spans="1:8" ht="20.100000000000001" customHeight="1">
      <c r="A171" s="629" t="s">
        <v>474</v>
      </c>
      <c r="B171" s="229"/>
      <c r="C171" s="229"/>
      <c r="D171" s="229"/>
      <c r="E171" s="229"/>
      <c r="F171" s="235" t="s">
        <v>475</v>
      </c>
      <c r="G171" s="577">
        <v>0</v>
      </c>
      <c r="H171" s="222"/>
    </row>
    <row r="172" spans="1:8" ht="20.100000000000001" customHeight="1">
      <c r="A172" s="629" t="s">
        <v>476</v>
      </c>
      <c r="B172" s="229"/>
      <c r="C172" s="229"/>
      <c r="D172" s="229"/>
      <c r="E172" s="229"/>
      <c r="F172" s="238">
        <v>56001</v>
      </c>
      <c r="G172" s="577">
        <f>16850+1725919+1533628+848389</f>
        <v>4124786</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f>1496418</f>
        <v>1496418</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61528</v>
      </c>
      <c r="H177" s="222"/>
    </row>
    <row r="178" spans="1:8" ht="20.100000000000001" customHeight="1">
      <c r="A178" s="629" t="s">
        <v>485</v>
      </c>
      <c r="B178" s="229"/>
      <c r="C178" s="229"/>
      <c r="D178" s="229"/>
      <c r="E178" s="229"/>
      <c r="F178" s="235" t="s">
        <v>486</v>
      </c>
      <c r="G178" s="577">
        <v>0</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236862</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f>2460526+665613</f>
        <v>3126139</v>
      </c>
      <c r="H185" s="222"/>
    </row>
    <row r="186" spans="1:8" ht="20.100000000000001" customHeight="1">
      <c r="A186" s="629" t="s">
        <v>501</v>
      </c>
      <c r="B186" s="229"/>
      <c r="C186" s="229"/>
      <c r="D186" s="229"/>
      <c r="E186" s="229"/>
      <c r="F186" s="235" t="s">
        <v>502</v>
      </c>
      <c r="G186" s="577">
        <f>4455550+44401+358751</f>
        <v>4858702</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0</v>
      </c>
      <c r="H188" s="222"/>
    </row>
    <row r="189" spans="1:8" ht="20.100000000000001" customHeight="1">
      <c r="A189" s="629" t="s">
        <v>507</v>
      </c>
      <c r="B189" s="229"/>
      <c r="C189" s="229"/>
      <c r="D189" s="229"/>
      <c r="E189" s="229"/>
      <c r="F189" s="235" t="s">
        <v>508</v>
      </c>
      <c r="G189" s="577">
        <f>10800+31857+542472+66000+98280</f>
        <v>749409</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f>4510452+28261+148508+21072+30000+123939-2</f>
        <v>4862230</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59742658</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309806</v>
      </c>
      <c r="H199" s="222"/>
    </row>
    <row r="200" spans="1:8" ht="20.100000000000001" customHeight="1">
      <c r="A200" s="629" t="s">
        <v>520</v>
      </c>
      <c r="B200" s="229"/>
      <c r="C200" s="229"/>
      <c r="D200" s="229"/>
      <c r="E200" s="229"/>
      <c r="F200" s="235" t="s">
        <v>521</v>
      </c>
      <c r="G200" s="577">
        <v>24169</v>
      </c>
      <c r="H200" s="222"/>
    </row>
    <row r="201" spans="1:8" ht="20.100000000000001" customHeight="1">
      <c r="A201" s="629" t="s">
        <v>522</v>
      </c>
      <c r="B201" s="229"/>
      <c r="C201" s="229"/>
      <c r="D201" s="229"/>
      <c r="E201" s="229"/>
      <c r="F201" s="235" t="s">
        <v>523</v>
      </c>
      <c r="G201" s="577">
        <v>761885</v>
      </c>
      <c r="H201" s="222"/>
    </row>
    <row r="202" spans="1:8" ht="20.100000000000001" customHeight="1">
      <c r="A202" s="629" t="s">
        <v>524</v>
      </c>
      <c r="B202" s="229"/>
      <c r="C202" s="229"/>
      <c r="D202" s="229"/>
      <c r="E202" s="229"/>
      <c r="F202" s="235" t="s">
        <v>525</v>
      </c>
      <c r="G202" s="577">
        <v>245764</v>
      </c>
      <c r="H202" s="222"/>
    </row>
    <row r="203" spans="1:8" ht="20.100000000000001" customHeight="1">
      <c r="A203" s="629" t="s">
        <v>526</v>
      </c>
      <c r="B203" s="229"/>
      <c r="C203" s="229"/>
      <c r="D203" s="229"/>
      <c r="E203" s="229"/>
      <c r="F203" s="235" t="s">
        <v>527</v>
      </c>
      <c r="G203" s="577">
        <v>1181311</v>
      </c>
      <c r="H203" s="222"/>
    </row>
    <row r="204" spans="1:8" ht="20.100000000000001" customHeight="1">
      <c r="A204" s="629" t="s">
        <v>528</v>
      </c>
      <c r="B204" s="229"/>
      <c r="C204" s="229"/>
      <c r="D204" s="229"/>
      <c r="E204" s="229"/>
      <c r="F204" s="235" t="s">
        <v>529</v>
      </c>
      <c r="G204" s="577">
        <v>405380</v>
      </c>
      <c r="H204" s="222"/>
    </row>
    <row r="205" spans="1:8" ht="20.100000000000001" customHeight="1">
      <c r="A205" s="629" t="s">
        <v>530</v>
      </c>
      <c r="B205" s="229"/>
      <c r="C205" s="229"/>
      <c r="D205" s="229"/>
      <c r="E205" s="229"/>
      <c r="F205" s="235" t="s">
        <v>531</v>
      </c>
      <c r="G205" s="577">
        <v>1933499</v>
      </c>
      <c r="H205" s="222"/>
    </row>
    <row r="206" spans="1:8" ht="20.100000000000001" customHeight="1">
      <c r="A206" s="629" t="s">
        <v>532</v>
      </c>
      <c r="B206" s="229"/>
      <c r="C206" s="229"/>
      <c r="D206" s="229"/>
      <c r="E206" s="229"/>
      <c r="F206" s="235" t="s">
        <v>533</v>
      </c>
      <c r="G206" s="577">
        <v>0</v>
      </c>
      <c r="H206" s="222"/>
    </row>
    <row r="207" spans="1:8" ht="20.100000000000001" customHeight="1">
      <c r="A207" s="629" t="s">
        <v>534</v>
      </c>
      <c r="B207" s="229"/>
      <c r="C207" s="229"/>
      <c r="D207" s="229"/>
      <c r="E207" s="229"/>
      <c r="F207" s="235" t="s">
        <v>535</v>
      </c>
      <c r="G207" s="577">
        <v>0</v>
      </c>
      <c r="H207" s="222"/>
    </row>
    <row r="208" spans="1:8" ht="20.100000000000001" customHeight="1">
      <c r="A208" s="629" t="s">
        <v>536</v>
      </c>
      <c r="B208" s="229"/>
      <c r="C208" s="229"/>
      <c r="D208" s="229"/>
      <c r="E208" s="229"/>
      <c r="F208" s="235" t="s">
        <v>537</v>
      </c>
      <c r="G208" s="577">
        <v>353694</v>
      </c>
      <c r="H208" s="222"/>
    </row>
    <row r="209" spans="1:8" ht="20.100000000000001" customHeight="1">
      <c r="A209" s="629" t="s">
        <v>538</v>
      </c>
      <c r="B209" s="229"/>
      <c r="C209" s="229"/>
      <c r="D209" s="229"/>
      <c r="E209" s="229"/>
      <c r="F209" s="235" t="s">
        <v>539</v>
      </c>
      <c r="G209" s="577">
        <v>1760704</v>
      </c>
      <c r="H209" s="222"/>
    </row>
    <row r="210" spans="1:8" ht="20.100000000000001" customHeight="1">
      <c r="A210" s="629" t="s">
        <v>540</v>
      </c>
      <c r="B210" s="229"/>
      <c r="C210" s="229"/>
      <c r="D210" s="229"/>
      <c r="E210" s="229"/>
      <c r="F210" s="235" t="s">
        <v>541</v>
      </c>
      <c r="G210" s="577">
        <v>120150</v>
      </c>
      <c r="H210" s="222"/>
    </row>
    <row r="211" spans="1:8" ht="20.100000000000001" customHeight="1">
      <c r="A211" s="629" t="s">
        <v>542</v>
      </c>
      <c r="B211" s="229"/>
      <c r="C211" s="229"/>
      <c r="D211" s="229"/>
      <c r="E211" s="229"/>
      <c r="F211" s="235" t="s">
        <v>543</v>
      </c>
      <c r="G211" s="577">
        <v>12033</v>
      </c>
      <c r="H211" s="222"/>
    </row>
    <row r="212" spans="1:8" ht="20.100000000000001" customHeight="1">
      <c r="A212" s="629" t="s">
        <v>544</v>
      </c>
      <c r="B212" s="222"/>
      <c r="C212" s="222"/>
      <c r="D212" s="222"/>
      <c r="E212" s="222"/>
      <c r="F212" s="235" t="s">
        <v>545</v>
      </c>
      <c r="G212" s="577">
        <v>10747</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5650421</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389729</v>
      </c>
      <c r="H217" s="222"/>
    </row>
    <row r="218" spans="1:8" ht="20.100000000000001" customHeight="1">
      <c r="A218" s="629" t="s">
        <v>554</v>
      </c>
      <c r="B218" s="229"/>
      <c r="C218" s="229"/>
      <c r="D218" s="229"/>
      <c r="E218" s="229"/>
      <c r="F218" s="235" t="s">
        <v>555</v>
      </c>
      <c r="G218" s="577">
        <v>520337</v>
      </c>
      <c r="H218" s="222"/>
    </row>
    <row r="219" spans="1:8" ht="20.100000000000001" customHeight="1">
      <c r="A219" s="629" t="s">
        <v>556</v>
      </c>
      <c r="B219" s="222"/>
      <c r="C219" s="222"/>
      <c r="D219" s="222"/>
      <c r="E219" s="222"/>
      <c r="F219" s="256" t="s">
        <v>557</v>
      </c>
      <c r="G219" s="577">
        <v>650809</v>
      </c>
      <c r="H219" s="222"/>
    </row>
    <row r="220" spans="1:8" ht="20.100000000000001" customHeight="1">
      <c r="A220" s="629" t="s">
        <v>558</v>
      </c>
      <c r="B220" s="229"/>
      <c r="C220" s="229"/>
      <c r="D220" s="229"/>
      <c r="E220" s="229"/>
      <c r="F220" s="235" t="s">
        <v>559</v>
      </c>
      <c r="G220" s="577">
        <v>187684</v>
      </c>
      <c r="H220" s="222"/>
    </row>
    <row r="221" spans="1:8" ht="20.100000000000001" customHeight="1">
      <c r="A221" s="629" t="s">
        <v>560</v>
      </c>
      <c r="B221" s="229"/>
      <c r="C221" s="229"/>
      <c r="D221" s="229"/>
      <c r="E221" s="229"/>
      <c r="F221" s="235" t="s">
        <v>561</v>
      </c>
      <c r="G221" s="577">
        <v>851045</v>
      </c>
      <c r="H221" s="222"/>
    </row>
    <row r="222" spans="1:8" ht="20.100000000000001" customHeight="1">
      <c r="A222" s="630" t="s">
        <v>562</v>
      </c>
      <c r="B222" s="232"/>
      <c r="C222" s="232"/>
      <c r="D222" s="232"/>
      <c r="E222" s="232"/>
      <c r="F222" s="248" t="s">
        <v>563</v>
      </c>
      <c r="G222" s="577">
        <v>196858</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46972</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2050000</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1700</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980000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18644697</v>
      </c>
      <c r="H238" s="222"/>
    </row>
    <row r="239" spans="1:9" ht="20.100000000000001" customHeight="1">
      <c r="A239" s="642"/>
      <c r="B239" s="262"/>
      <c r="C239" s="262"/>
      <c r="D239" s="262"/>
      <c r="E239" s="262"/>
      <c r="F239" s="717"/>
      <c r="G239" s="718"/>
      <c r="H239" s="222"/>
    </row>
    <row r="240" spans="1:9" ht="20.100000000000001" customHeight="1">
      <c r="A240" s="1057" t="s">
        <v>172</v>
      </c>
      <c r="B240" s="1058"/>
      <c r="C240" s="1058"/>
      <c r="D240" s="1058"/>
      <c r="E240" s="1058"/>
      <c r="F240" s="1059"/>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113129</v>
      </c>
      <c r="H243" s="222"/>
    </row>
    <row r="244" spans="1:10" ht="20.100000000000001" customHeight="1">
      <c r="A244" s="629" t="s">
        <v>596</v>
      </c>
      <c r="B244" s="229"/>
      <c r="C244" s="229"/>
      <c r="D244" s="229"/>
      <c r="E244" s="229"/>
      <c r="F244" s="235" t="s">
        <v>597</v>
      </c>
      <c r="G244" s="577">
        <f>3846+21525</f>
        <v>25371</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791</v>
      </c>
      <c r="B247" s="232"/>
      <c r="C247" s="232"/>
      <c r="D247" s="232"/>
      <c r="E247" s="232"/>
      <c r="F247" s="255">
        <v>73100</v>
      </c>
      <c r="G247" s="577">
        <v>0</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138500</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78525855</v>
      </c>
      <c r="H256" s="222"/>
    </row>
    <row r="257" spans="1:8" ht="20.100000000000001" customHeight="1" thickTop="1">
      <c r="A257" s="928"/>
      <c r="B257" s="929"/>
      <c r="C257" s="929"/>
      <c r="D257" s="929"/>
      <c r="E257" s="929"/>
      <c r="F257" s="930"/>
      <c r="G257" s="931"/>
      <c r="H257" s="222"/>
    </row>
    <row r="258" spans="1:8" ht="20.100000000000001" customHeight="1">
      <c r="A258" s="1066"/>
      <c r="B258" s="1067"/>
      <c r="C258" s="1067"/>
      <c r="D258" s="1067"/>
      <c r="E258" s="1067"/>
      <c r="F258" s="1068"/>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150000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3709618</v>
      </c>
      <c r="H267" s="222"/>
    </row>
    <row r="268" spans="1:8" ht="20.100000000000001" customHeight="1">
      <c r="A268" s="629" t="s">
        <v>621</v>
      </c>
      <c r="B268" s="229"/>
      <c r="C268" s="229"/>
      <c r="D268" s="229"/>
      <c r="E268" s="229"/>
      <c r="F268" s="273">
        <v>31100</v>
      </c>
      <c r="G268" s="769">
        <f>8138042-G267</f>
        <v>4428424</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8288042</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-33116144</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-24828102</v>
      </c>
      <c r="H274" s="668"/>
    </row>
    <row r="275" spans="1:12">
      <c r="A275" s="274"/>
      <c r="B275" s="274"/>
      <c r="C275" s="274"/>
      <c r="D275" s="274"/>
      <c r="E275" s="274"/>
      <c r="F275" s="275"/>
      <c r="G275" s="276"/>
      <c r="H275" s="277"/>
      <c r="I275" s="277"/>
      <c r="J275" s="277"/>
      <c r="K275" s="277"/>
      <c r="L275" s="277"/>
    </row>
    <row r="276" spans="1:12" s="225" customFormat="1" ht="13.5" customHeight="1">
      <c r="A276" s="1054"/>
      <c r="B276" s="1054"/>
      <c r="C276" s="1054"/>
      <c r="D276" s="1054"/>
      <c r="E276" s="1054"/>
      <c r="F276" s="1054"/>
      <c r="G276" s="1054"/>
      <c r="H276" s="1054"/>
      <c r="I276" s="278"/>
      <c r="J276" s="278"/>
      <c r="K276" s="278"/>
      <c r="L276" s="278"/>
    </row>
    <row r="277" spans="1:12" s="225" customFormat="1">
      <c r="A277" s="1054"/>
      <c r="B277" s="1054"/>
      <c r="C277" s="1054"/>
      <c r="D277" s="1054"/>
      <c r="E277" s="1054"/>
      <c r="F277" s="1054"/>
      <c r="G277" s="1054"/>
      <c r="H277" s="1054"/>
      <c r="I277" s="278"/>
      <c r="J277" s="278"/>
      <c r="K277" s="278"/>
      <c r="L277" s="278"/>
    </row>
    <row r="278" spans="1:12" s="225" customFormat="1">
      <c r="A278" s="1054"/>
      <c r="B278" s="1054"/>
      <c r="C278" s="1054"/>
      <c r="D278" s="1054"/>
      <c r="E278" s="1054"/>
      <c r="F278" s="1054"/>
      <c r="G278" s="1054"/>
      <c r="H278" s="1054"/>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2" orientation="portrait" r:id="rId1"/>
  <headerFooter alignWithMargins="0">
    <oddFooter>&amp;L&amp;Z&amp;F&amp;R&amp;D</oddFooter>
  </headerFooter>
  <rowBreaks count="3" manualBreakCount="3">
    <brk id="72" max="6" man="1"/>
    <brk id="129" max="6" man="1"/>
    <brk id="196"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documentManagement/types"/>
    <ds:schemaRef ds:uri="ee822479-6e51-4d14-b6b0-2c589e913e66"/>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2021-06-22T13:48:06Z</cp:lastPrinted>
  <dcterms:created xsi:type="dcterms:W3CDTF">2005-03-22T15:46:43Z</dcterms:created>
  <dcterms:modified xsi:type="dcterms:W3CDTF">2021-10-13T14:33:16Z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y fmtid="{D5CDD505-2E9C-101B-9397-08002B2CF9AE}" pid="6" name="SS Version">
    <vt:lpwstr>14.5</vt:lpwstr>
  </property>
</Properties>
</file>