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cocoasrv2\Accounting\Budget\21_22 Working Budget\State Report\"/>
    </mc:Choice>
  </mc:AlternateContent>
  <xr:revisionPtr revIDLastSave="0" documentId="13_ncr:1_{936DEDA9-537B-4AC5-A1C0-634AE0359DC1}" xr6:coauthVersionLast="44" xr6:coauthVersionMax="45" xr10:uidLastSave="{00000000-0000-0000-0000-000000000000}"/>
  <bookViews>
    <workbookView xWindow="28680" yWindow="-120" windowWidth="29040" windowHeight="15840" firstSheet="1"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14" i="8" l="1"/>
  <c r="B14" i="8"/>
  <c r="C10" i="8"/>
  <c r="B10" i="8"/>
  <c r="G234" i="7"/>
  <c r="G222" i="7"/>
  <c r="G221" i="7"/>
  <c r="G220" i="7"/>
  <c r="G219" i="7"/>
  <c r="G218" i="7"/>
  <c r="G217" i="7"/>
  <c r="G214" i="7"/>
  <c r="G204" i="7"/>
  <c r="G203" i="7"/>
  <c r="G202" i="7"/>
  <c r="G201" i="7"/>
  <c r="G199" i="7"/>
  <c r="G191" i="7"/>
  <c r="G189" i="7"/>
  <c r="G185" i="7"/>
  <c r="G178" i="7"/>
  <c r="G169" i="7"/>
  <c r="G167" i="7"/>
  <c r="G153" i="7"/>
  <c r="G152" i="7"/>
  <c r="D83" i="15"/>
  <c r="D67" i="15"/>
  <c r="D54" i="15"/>
  <c r="D49" i="15"/>
  <c r="D48" i="15"/>
  <c r="G205" i="7" l="1"/>
  <c r="G126" i="7"/>
  <c r="G112" i="7"/>
  <c r="G111" i="7"/>
  <c r="G110" i="7"/>
  <c r="G59" i="7"/>
  <c r="G50" i="7"/>
  <c r="G48" i="7"/>
  <c r="D23" i="6" l="1"/>
  <c r="D22" i="6"/>
  <c r="D20" i="6"/>
  <c r="D12" i="6"/>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G33" i="6"/>
  <c r="F34" i="6"/>
  <c r="H34" i="6" s="1"/>
  <c r="G32" i="7" s="1"/>
  <c r="G34" i="6"/>
  <c r="F35" i="6"/>
  <c r="G35" i="6"/>
  <c r="E19" i="6"/>
  <c r="F19" i="6" s="1"/>
  <c r="G21" i="7" s="1"/>
  <c r="E20" i="6"/>
  <c r="F20" i="6" s="1"/>
  <c r="G22" i="7" s="1"/>
  <c r="E21" i="6"/>
  <c r="F21" i="6" s="1"/>
  <c r="G23" i="7" s="1"/>
  <c r="E22" i="6"/>
  <c r="F22" i="6"/>
  <c r="G24" i="7" s="1"/>
  <c r="E23" i="6"/>
  <c r="F23" i="6" s="1"/>
  <c r="G25" i="7" s="1"/>
  <c r="E24" i="6"/>
  <c r="F24" i="6" s="1"/>
  <c r="G26" i="7" s="1"/>
  <c r="B34" i="5"/>
  <c r="E39" i="6" s="1"/>
  <c r="F39" i="6" s="1"/>
  <c r="B35" i="5"/>
  <c r="E40" i="6" s="1"/>
  <c r="F40" i="6" s="1"/>
  <c r="G38" i="7" s="1"/>
  <c r="B37" i="5"/>
  <c r="E41" i="6"/>
  <c r="F41" i="6" s="1"/>
  <c r="G39" i="7" s="1"/>
  <c r="B38" i="5"/>
  <c r="H38" i="5" s="1"/>
  <c r="I38" i="5"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E64" i="3" s="1"/>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D65" i="22"/>
  <c r="D67" i="22"/>
  <c r="D59" i="22"/>
  <c r="D60" i="22" s="1"/>
  <c r="B52" i="22"/>
  <c r="E33" i="22"/>
  <c r="E34" i="22" s="1"/>
  <c r="D33" i="22"/>
  <c r="D34" i="22" s="1"/>
  <c r="D26" i="22"/>
  <c r="D38" i="22"/>
  <c r="C38" i="22"/>
  <c r="E15" i="22"/>
  <c r="D15" i="22"/>
  <c r="B46" i="22"/>
  <c r="E26" i="22"/>
  <c r="E59" i="22"/>
  <c r="E60" i="22" s="1"/>
  <c r="E38" i="22"/>
  <c r="B29" i="5"/>
  <c r="G14" i="5"/>
  <c r="H14" i="5" s="1"/>
  <c r="G254" i="7"/>
  <c r="C113" i="3" s="1"/>
  <c r="E15" i="8"/>
  <c r="E36" i="6"/>
  <c r="D36" i="6"/>
  <c r="F36" i="6" s="1"/>
  <c r="D43" i="6"/>
  <c r="D26" i="6"/>
  <c r="E17" i="6"/>
  <c r="G20" i="5"/>
  <c r="H20" i="5"/>
  <c r="G19" i="5"/>
  <c r="H19" i="5" s="1"/>
  <c r="G22" i="5"/>
  <c r="H22" i="5" s="1"/>
  <c r="G23" i="5"/>
  <c r="H23" i="5" s="1"/>
  <c r="E20" i="12"/>
  <c r="E29" i="12"/>
  <c r="E30" i="12" s="1"/>
  <c r="G195" i="7"/>
  <c r="D21" i="8"/>
  <c r="E68" i="3"/>
  <c r="C94" i="12"/>
  <c r="B31" i="5"/>
  <c r="H31" i="5" s="1"/>
  <c r="I31" i="5" s="1"/>
  <c r="B30" i="5"/>
  <c r="G16" i="5"/>
  <c r="H16" i="5" s="1"/>
  <c r="G15" i="5"/>
  <c r="H15" i="5" s="1"/>
  <c r="D96" i="8"/>
  <c r="C96" i="8"/>
  <c r="B69" i="6"/>
  <c r="E19" i="4"/>
  <c r="E69" i="3"/>
  <c r="E70" i="3"/>
  <c r="E71" i="3"/>
  <c r="E72" i="3"/>
  <c r="E73" i="3"/>
  <c r="B21" i="8"/>
  <c r="C21" i="8"/>
  <c r="E10" i="8"/>
  <c r="E12" i="8"/>
  <c r="E16" i="8"/>
  <c r="E17" i="8"/>
  <c r="E18" i="8"/>
  <c r="E19" i="8"/>
  <c r="E20" i="8"/>
  <c r="E36" i="4"/>
  <c r="C127" i="3" s="1"/>
  <c r="D33" i="4"/>
  <c r="B60" i="6"/>
  <c r="E26" i="4"/>
  <c r="E16" i="4"/>
  <c r="G270" i="7"/>
  <c r="G274" i="7" s="1"/>
  <c r="C120" i="3" s="1"/>
  <c r="D61" i="22"/>
  <c r="E14" i="8"/>
  <c r="G238" i="7"/>
  <c r="X141" i="23"/>
  <c r="D66" i="22"/>
  <c r="H35" i="6"/>
  <c r="G33" i="7" s="1"/>
  <c r="H33" i="6"/>
  <c r="G31" i="7" s="1"/>
  <c r="H34" i="5"/>
  <c r="I34" i="5" s="1"/>
  <c r="E62" i="22"/>
  <c r="H30" i="5"/>
  <c r="I30" i="5" s="1"/>
  <c r="D92" i="23"/>
  <c r="E92" i="23" s="1"/>
  <c r="F92" i="23" s="1"/>
  <c r="H37" i="5"/>
  <c r="I37" i="5" s="1"/>
  <c r="D17" i="6"/>
  <c r="F12" i="6"/>
  <c r="H12" i="6" s="1"/>
  <c r="G14" i="7" s="1"/>
  <c r="F11" i="6"/>
  <c r="H11" i="6" s="1"/>
  <c r="G13" i="7" s="1"/>
  <c r="F14" i="6"/>
  <c r="H14" i="6" s="1"/>
  <c r="G16" i="7" s="1"/>
  <c r="H13" i="6"/>
  <c r="G15" i="7" s="1"/>
  <c r="F15" i="6"/>
  <c r="H15" i="6" s="1"/>
  <c r="G17" i="7" s="1"/>
  <c r="F10" i="6"/>
  <c r="E44" i="3" s="1"/>
  <c r="E47" i="3"/>
  <c r="C92" i="3" l="1"/>
  <c r="C111" i="3"/>
  <c r="G256" i="7"/>
  <c r="E25" i="4" s="1"/>
  <c r="E28" i="4" s="1"/>
  <c r="D68" i="22"/>
  <c r="D70" i="22"/>
  <c r="C95" i="3"/>
  <c r="E49" i="3"/>
  <c r="E66" i="22"/>
  <c r="E21" i="8"/>
  <c r="C112" i="3"/>
  <c r="B70" i="6"/>
  <c r="C93" i="3"/>
  <c r="E48" i="3"/>
  <c r="E45" i="3"/>
  <c r="H10" i="6"/>
  <c r="G12" i="7" s="1"/>
  <c r="G19" i="7" s="1"/>
  <c r="H36" i="6"/>
  <c r="G30" i="7"/>
  <c r="G35" i="7" s="1"/>
  <c r="E69" i="22"/>
  <c r="E70" i="22"/>
  <c r="E68" i="22"/>
  <c r="G37" i="7"/>
  <c r="C96" i="3"/>
  <c r="E74" i="3"/>
  <c r="E61" i="22"/>
  <c r="T113" i="23"/>
  <c r="E42" i="6"/>
  <c r="F42" i="6" s="1"/>
  <c r="G40" i="7" s="1"/>
  <c r="G42" i="7" s="1"/>
  <c r="E46" i="3"/>
  <c r="H29" i="5"/>
  <c r="I29" i="5" s="1"/>
  <c r="F17" i="6"/>
  <c r="E50" i="3" s="1"/>
  <c r="C121" i="3"/>
  <c r="F118" i="15"/>
  <c r="D69" i="22"/>
  <c r="D62" i="22"/>
  <c r="G28" i="7"/>
  <c r="F26" i="6"/>
  <c r="D126" i="15"/>
  <c r="C128" i="3"/>
  <c r="C132" i="3" s="1"/>
  <c r="E120" i="15"/>
  <c r="E138" i="15" s="1"/>
  <c r="F102"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D73" i="3"/>
  <c r="F73" i="3" s="1"/>
  <c r="G73" i="3" s="1"/>
  <c r="D141" i="23"/>
  <c r="P141" i="23"/>
  <c r="D69" i="3"/>
  <c r="D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C114" i="3" l="1"/>
  <c r="F45" i="3"/>
  <c r="G45" i="3" s="1"/>
  <c r="F48" i="3"/>
  <c r="G48" i="3" s="1"/>
  <c r="F43" i="6"/>
  <c r="H44" i="6" s="1"/>
  <c r="G44" i="7"/>
  <c r="G63" i="7" s="1"/>
  <c r="G143" i="7" s="1"/>
  <c r="E18" i="4" s="1"/>
  <c r="E21" i="4" s="1"/>
  <c r="E23" i="4" s="1"/>
  <c r="E44" i="4" s="1"/>
  <c r="C17" i="3" s="1"/>
  <c r="F46" i="3"/>
  <c r="G46" i="3" s="1"/>
  <c r="H17" i="6"/>
  <c r="H27" i="6" s="1"/>
  <c r="H46" i="6" s="1"/>
  <c r="D125" i="15"/>
  <c r="C144" i="3" s="1"/>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C34" i="3" l="1"/>
  <c r="C137" i="3"/>
  <c r="D136" i="15"/>
  <c r="D138" i="15" s="1"/>
  <c r="F125" i="15"/>
  <c r="F136" i="15" s="1"/>
  <c r="D32" i="4"/>
  <c r="E35" i="4" s="1"/>
  <c r="E38" i="4" s="1"/>
  <c r="C153" i="3" l="1"/>
  <c r="F13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2"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0"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0"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8"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9"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2"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2"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2"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2"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2"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2"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2"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2"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2"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2"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2"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2"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2"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2" authorId="0" shapeId="0" xr:uid="{00000000-0006-0000-0200-000017000000}">
      <text>
        <r>
          <rPr>
            <b/>
            <sz val="9"/>
            <color indexed="81"/>
            <rFont val="Tahoma"/>
            <family val="2"/>
          </rPr>
          <t>Nieto, Eve:</t>
        </r>
        <r>
          <rPr>
            <sz val="9"/>
            <color indexed="81"/>
            <rFont val="Tahoma"/>
            <family val="2"/>
          </rPr>
          <t xml:space="preserve">
Pulls from columns AE and AF.</t>
        </r>
      </text>
    </comment>
    <comment ref="AA112"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2"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2"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4"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5"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8"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2"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6"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<sst xmlns="http://schemas.openxmlformats.org/spreadsheetml/2006/main" count="1312" uniqueCount="794">
  <si>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</si>
  <si>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</si>
  <si>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</si>
  <si>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</si>
  <si>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</si>
  <si>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</si>
  <si>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</si>
  <si>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</si>
  <si>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</si>
  <si>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</si>
  <si>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</si>
  <si>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</si>
  <si>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</si>
  <si>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</si>
  <si>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</si>
  <si>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</si>
  <si>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</si>
  <si>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</si>
  <si>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</si>
  <si>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</si>
  <si>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</si>
  <si>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</si>
  <si>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</si>
  <si>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</si>
  <si>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</si>
  <si>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</si>
  <si>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</si>
  <si>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</si>
  <si>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</si>
  <si>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</si>
  <si>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</si>
  <si>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</si>
  <si>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</si>
  <si>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</si>
  <si>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</si>
  <si>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</si>
  <si>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</si>
  <si>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</si>
  <si>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</si>
  <si>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</si>
  <si>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</si>
  <si>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</si>
  <si>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</si>
  <si>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</si>
  <si>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</si>
  <si>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</si>
  <si>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</si>
  <si>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</si>
  <si>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</si>
  <si>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</si>
  <si>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</si>
  <si>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</si>
  <si>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</si>
  <si>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</si>
  <si>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</si>
  <si>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</si>
  <si>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</si>
  <si>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</si>
  <si>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</si>
  <si>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</si>
  <si>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</si>
  <si>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</si>
  <si>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</si>
  <si>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</si>
  <si>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</si>
  <si>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</si>
  <si>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</si>
  <si>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</si>
  <si>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</si>
  <si>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</si>
  <si>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</si>
  <si>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</si>
  <si>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</si>
  <si>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</si>
  <si>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</si>
  <si>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</si>
  <si>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</si>
  <si>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</si>
  <si>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</si>
  <si>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</si>
  <si>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</si>
  <si>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</si>
  <si>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</si>
  <si>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</si>
  <si>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</si>
  <si>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</si>
  <si>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</si>
  <si>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</si>
  <si>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</si>
  <si>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</si>
  <si>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</si>
  <si>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</si>
  <si>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</si>
  <si>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</si>
  <si>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</si>
  <si>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</si>
  <si>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</si>
  <si>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</si>
  <si>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</si>
  <si>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</si>
  <si>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</si>
  <si>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</si>
  <si>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</si>
  <si>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</si>
  <si>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</si>
  <si>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</si>
  <si>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</si>
  <si>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</si>
  <si>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</si>
  <si>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</si>
  <si>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</si>
  <si>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</si>
  <si>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</si>
  <si>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</si>
  <si>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</si>
  <si>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</si>
  <si>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</si>
  <si>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</si>
  <si>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</si>
  <si>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</si>
  <si>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</si>
  <si>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</si>
  <si>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</si>
  <si>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</si>
  <si>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</si>
  <si>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</si>
  <si>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</si>
  <si>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</si>
  <si>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</si>
  <si>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</si>
  <si>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</si>
  <si>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</si>
  <si>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</si>
  <si>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</si>
  <si>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</si>
  <si>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</si>
  <si>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</si>
  <si>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</si>
  <si>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</si>
  <si>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</si>
  <si>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</si>
  <si>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</si>
  <si>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</si>
  <si>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</si>
  <si>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</si>
  <si>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</si>
  <si>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</si>
  <si>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</si>
  <si>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</si>
  <si>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</si>
  <si>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</si>
  <si>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</si>
  <si>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</si>
  <si>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</si>
  <si>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</si>
  <si>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</si>
  <si>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</si>
  <si>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</si>
  <si>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</si>
  <si>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</si>
  <si>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</si>
  <si>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</si>
  <si>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</si>
  <si>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</si>
  <si>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</si>
  <si>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</si>
  <si>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</si>
  <si>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</si>
  <si>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</si>
  <si>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</si>
  <si>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</si>
  <si>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</si>
  <si>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</si>
  <si>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</si>
  <si>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</si>
  <si>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</si>
  <si>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</si>
  <si>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</si>
  <si>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</si>
  <si>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</si>
  <si>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</si>
  <si>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</si>
  <si>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</si>
  <si>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</si>
  <si>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</si>
  <si>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</si>
  <si>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</si>
  <si>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</si>
  <si>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</si>
  <si>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</si>
  <si>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</si>
  <si>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</si>
  <si>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</si>
  <si>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</si>
  <si>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</si>
  <si>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</si>
  <si>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</si>
  <si>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</si>
  <si>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</si>
  <si>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</si>
  <si>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</si>
  <si>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</si>
  <si>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</si>
  <si>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</si>
  <si>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</si>
  <si>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</si>
  <si>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</si>
  <si>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</si>
  <si>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</si>
  <si>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</si>
  <si>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</si>
  <si>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</si>
  <si>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</si>
  <si>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</si>
  <si>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</si>
  <si>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</si>
  <si>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</si>
  <si>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</si>
  <si>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</si>
  <si>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</si>
  <si>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</si>
  <si>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</si>
  <si>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</si>
  <si>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</si>
  <si>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</si>
  <si>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</si>
  <si>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</si>
  <si>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</si>
  <si>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</si>
  <si>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</si>
  <si>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</si>
  <si>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</si>
  <si>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</si>
  <si>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</si>
  <si>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</si>
  <si>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</si>
  <si>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</si>
  <si>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</si>
  <si>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</si>
  <si>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</si>
  <si>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</si>
  <si>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</si>
  <si>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</si>
  <si>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</si>
  <si>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</si>
  <si>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</si>
  <si>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</si>
  <si>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</si>
  <si>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</si>
  <si>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</si>
  <si>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</si>
  <si>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</si>
  <si>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</si>
  <si>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</si>
  <si>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</si>
  <si>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</si>
  <si>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</si>
  <si>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</si>
  <si>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</si>
  <si>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</si>
  <si>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</si>
  <si>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</si>
  <si>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</si>
  <si>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</si>
  <si>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</si>
  <si>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</si>
  <si>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</si>
  <si>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</si>
  <si>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</si>
  <si>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</si>
  <si>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</si>
  <si>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</si>
  <si>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</si>
  <si>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</si>
  <si>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</si>
  <si>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</si>
  <si>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</si>
  <si>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</si>
  <si>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</si>
  <si>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</si>
  <si>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</si>
  <si>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</si>
  <si>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</si>
  <si>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</si>
  <si>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</si>
  <si>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</si>
  <si>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</si>
  <si>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</si>
  <si>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</si>
  <si>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</si>
  <si>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</si>
  <si>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</si>
  <si>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</si>
  <si>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</si>
  <si>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</si>
  <si>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</si>
  <si>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</si>
  <si>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</si>
  <si>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</si>
  <si>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</si>
  <si>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</si>
  <si>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</si>
  <si>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</si>
  <si>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</si>
  <si>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</si>
  <si>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</si>
  <si>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</si>
  <si>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</si>
  <si>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</si>
  <si>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</si>
  <si>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</si>
  <si>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</si>
  <si>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</si>
  <si>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</si>
  <si>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</si>
  <si>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</si>
  <si>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</si>
  <si>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</si>
  <si>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</si>
  <si>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</si>
  <si>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</si>
  <si>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</si>
  <si>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</si>
  <si>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</si>
  <si>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</si>
  <si>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</si>
  <si>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</si>
  <si>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</si>
  <si>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</si>
  <si>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</si>
  <si>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</si>
  <si>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</si>
  <si>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</si>
  <si>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</si>
  <si>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</si>
  <si>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</si>
  <si>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</si>
  <si>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</si>
  <si>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</si>
  <si>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</si>
  <si>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</si>
  <si>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</si>
  <si>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</si>
  <si>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</si>
  <si>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</si>
  <si>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</si>
  <si>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</si>
  <si>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</si>
  <si>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</si>
  <si>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</si>
  <si>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</si>
  <si>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</si>
  <si>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</si>
  <si>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</si>
  <si>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</si>
  <si>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</si>
  <si>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</si>
  <si>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</si>
  <si>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</si>
  <si>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</si>
  <si>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</si>
  <si>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</si>
  <si>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</si>
  <si>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</si>
  <si>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</si>
  <si>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</si>
  <si>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</si>
  <si>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</si>
  <si>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</si>
  <si>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</si>
  <si>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</si>
  <si>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</si>
  <si>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</si>
  <si>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</si>
  <si>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</si>
  <si>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</si>
  <si>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</si>
  <si>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</si>
  <si>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</si>
  <si>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</si>
  <si>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</si>
  <si>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</si>
  <si>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</si>
  <si>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</si>
  <si>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</si>
  <si>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</si>
  <si>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</si>
  <si>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</si>
  <si>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</si>
  <si>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</si>
  <si>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</si>
  <si>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</si>
  <si>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</si>
  <si>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</si>
  <si>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</si>
  <si>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</si>
  <si>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</si>
  <si>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</si>
  <si>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</si>
  <si>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</si>
  <si>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</si>
  <si>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</si>
  <si>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</si>
  <si>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</si>
  <si>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</si>
  <si>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</si>
  <si>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</si>
  <si>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</si>
  <si>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</si>
  <si>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</si>
  <si>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</si>
  <si>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</si>
  <si>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</si>
  <si>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</si>
  <si>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</si>
  <si>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</si>
  <si>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</si>
  <si>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</si>
  <si>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</si>
  <si>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</si>
  <si>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</si>
  <si>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</si>
  <si>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</si>
  <si>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</si>
  <si>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</si>
  <si>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</si>
  <si>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</si>
  <si>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</si>
  <si>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</si>
  <si>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</si>
  <si>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</si>
  <si>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</si>
  <si>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</si>
  <si>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</si>
  <si>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</si>
  <si>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</si>
  <si>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</si>
  <si>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</si>
  <si>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</si>
  <si>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</si>
  <si>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</si>
  <si>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</si>
  <si>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</si>
  <si>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</si>
  <si>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</si>
  <si>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</si>
  <si>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</si>
  <si>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</si>
  <si>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</si>
  <si>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</si>
  <si>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</si>
  <si>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</si>
  <si>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</si>
  <si>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</si>
  <si>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</si>
  <si>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</si>
  <si>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</si>
  <si>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</si>
  <si>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</si>
  <si>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</si>
  <si>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</si>
  <si>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</si>
  <si>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</si>
  <si>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</si>
  <si>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</si>
  <si>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</si>
  <si>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</si>
  <si>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</si>
  <si>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</si>
  <si>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</si>
  <si>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</si>
  <si>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</si>
  <si>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</si>
  <si>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</si>
  <si>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</si>
  <si>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</si>
  <si>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</si>
  <si>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</si>
  <si>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</si>
  <si>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</si>
  <si>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</si>
  <si>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</si>
  <si>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</si>
  <si>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</si>
  <si>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</si>
  <si>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</si>
  <si>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</si>
  <si>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</si>
  <si>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</si>
  <si>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</si>
  <si>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</si>
  <si>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</si>
  <si>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</si>
  <si>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</si>
  <si>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</si>
  <si>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</si>
  <si>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</si>
  <si>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</si>
  <si>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</si>
  <si>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</si>
  <si>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</si>
  <si>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</si>
  <si>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</si>
  <si>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</si>
  <si>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</si>
  <si>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</si>
  <si>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</si>
  <si>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</si>
  <si>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</si>
  <si>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</si>
  <si>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</si>
  <si>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</si>
  <si>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</si>
  <si>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</si>
  <si>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</si>
  <si>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</si>
  <si>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</si>
  <si>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</si>
  <si>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</si>
  <si>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</si>
  <si>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</si>
  <si>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</si>
  <si>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</si>
  <si>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</si>
  <si>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</si>
  <si>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</si>
  <si>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</si>
  <si>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</si>
  <si>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</si>
  <si>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</si>
  <si>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</si>
  <si>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</si>
  <si>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</si>
  <si>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</si>
  <si>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</si>
  <si>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</si>
  <si>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</si>
  <si>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</si>
  <si>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</si>
  <si>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</si>
  <si>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</si>
  <si>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</si>
  <si>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</si>
  <si>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</si>
  <si>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</si>
  <si>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</si>
  <si>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</si>
  <si>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</si>
  <si>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</si>
  <si>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</si>
  <si>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</si>
  <si>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</si>
  <si>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</si>
  <si>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</si>
  <si>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</si>
  <si>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</si>
  <si>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</si>
  <si>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</si>
  <si>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</si>
  <si>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</si>
  <si>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</si>
  <si>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</si>
  <si>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</si>
  <si>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</si>
  <si>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</si>
  <si>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</si>
  <si>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</si>
  <si>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</si>
  <si>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</si>
  <si>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</si>
  <si>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</si>
  <si>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</si>
  <si>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</si>
  <si>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</si>
  <si>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</si>
  <si>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</si>
  <si>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</si>
  <si>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</si>
  <si>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</si>
  <si>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</si>
  <si>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</si>
  <si>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</si>
  <si>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</si>
  <si>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</si>
  <si>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</si>
  <si>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</si>
  <si>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</si>
  <si>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</si>
  <si>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</si>
  <si>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</si>
  <si>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</si>
  <si>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</si>
  <si>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</si>
  <si>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</si>
  <si>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</si>
  <si>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</si>
  <si>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</si>
  <si>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</si>
  <si>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</si>
  <si>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</si>
  <si>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</si>
  <si>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</si>
  <si>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</si>
  <si>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</si>
  <si>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</si>
  <si>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</si>
  <si>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</si>
  <si>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</si>
  <si>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</si>
  <si>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</si>
  <si>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</si>
  <si>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</si>
  <si>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</si>
  <si>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</si>
  <si>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</si>
  <si>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</si>
  <si>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</si>
  <si>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</si>
  <si>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</si>
  <si>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</si>
  <si>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</si>
  <si>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</si>
  <si>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</si>
  <si>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</si>
  <si>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</si>
  <si>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</si>
  <si>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</si>
  <si>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</si>
  <si>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</si>
  <si>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</si>
  <si>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</si>
  <si>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</si>
  <si>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</si>
  <si>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</si>
  <si>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</si>
  <si>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</si>
  <si>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</si>
  <si>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</si>
  <si>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</si>
  <si>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</si>
  <si>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</si>
  <si>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</si>
  <si>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</si>
  <si>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</si>
  <si>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</si>
  <si>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</si>
  <si>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</si>
  <si>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</si>
  <si>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</si>
  <si>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</si>
  <si>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</si>
  <si>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</si>
  <si>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</si>
  <si>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</si>
  <si>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</si>
  <si>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</si>
  <si>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</si>
  <si>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</si>
  <si>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</si>
  <si>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</si>
  <si>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</si>
  <si>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</si>
  <si>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</si>
  <si>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</si>
  <si>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</si>
  <si>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</si>
  <si>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</si>
  <si>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</si>
  <si>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</si>
  <si>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</si>
  <si>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</si>
  <si>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</si>
  <si>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</si>
  <si>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</si>
  <si>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</si>
  <si>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</si>
  <si>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</si>
  <si>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</si>
  <si>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</si>
  <si>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</si>
  <si>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</si>
  <si>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</si>
  <si>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</si>
  <si>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</si>
  <si>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</si>
  <si>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</si>
  <si>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</si>
  <si>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</si>
  <si>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</si>
  <si>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</si>
  <si>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</si>
  <si>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</si>
  <si>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</si>
  <si>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</si>
  <si>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</si>
  <si>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</si>
  <si>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</si>
  <si>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</si>
  <si>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</si>
  <si>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</si>
  <si>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</si>
  <si>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</si>
  <si>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</si>
  <si>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</si>
  <si>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</si>
  <si>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</si>
  <si>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</si>
  <si>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</si>
  <si>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</si>
  <si>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</si>
  <si>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</si>
  <si>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</si>
  <si>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</si>
  <si>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</si>
  <si>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</si>
  <si>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</si>
  <si>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</si>
  <si>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</si>
  <si>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</si>
  <si>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</si>
  <si>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</si>
  <si>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</si>
  <si>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</si>
  <si>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</si>
  <si>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</si>
  <si>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</si>
  <si>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</si>
  <si>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</si>
  <si>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</si>
  <si>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</si>
  <si>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</si>
  <si>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</si>
  <si>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</si>
  <si>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</si>
  <si>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</si>
  <si>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</si>
  <si>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</si>
  <si>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</si>
  <si>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</si>
  <si>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</si>
  <si>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</si>
  <si>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</si>
  <si>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</si>
  <si>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</si>
  <si>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</si>
  <si>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</si>
  <si>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</si>
  <si>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</si>
  <si>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</si>
  <si>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</si>
  <si>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</si>
  <si>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</si>
  <si>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</si>
  <si>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</si>
  <si>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</si>
  <si>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</si>
  <si>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</si>
  <si>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</si>
  <si>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</si>
  <si>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</si>
  <si>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</si>
  <si>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</si>
  <si>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</si>
  <si>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</si>
  <si>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</si>
  <si>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</si>
  <si>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</si>
  <si>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</si>
  <si>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</si>
  <si>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</si>
  <si>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</si>
  <si>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</si>
  <si>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</si>
  <si>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</si>
  <si>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</si>
  <si>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</si>
  <si>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</si>
  <si>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</si>
  <si>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</si>
  <si>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</si>
  <si>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</si>
  <si>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</si>
  <si>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</si>
  <si>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</si>
  <si>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</si>
  <si>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</si>
  <si>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</si>
  <si>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</si>
  <si>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</si>
  <si>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</si>
  <si>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</si>
  <si>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Nonresident tuition waivers.</t>
  </si>
  <si>
    <t>Capital Lease</t>
  </si>
  <si>
    <t>Increased enrollment in new Baccalaureate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</si>
</sst>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352425</xdr:colOff>
          <xdr:row>5</xdr:row>
          <xdr:rowOff>38100</xdr:rowOff>
        </xdr:from>
        <xdr:to>
          <xdr:col>0</xdr:col>
          <xdr:colOff>6181725</xdr:colOff>
          <xdr:row>50</xdr:row>
          <xdr:rowOff>19050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767</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B21" sqref="B2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Eastern Florida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782</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f>32803609+455030</f>
        <v>33258639</v>
      </c>
      <c r="C10" s="580">
        <f>1340705+16237</f>
        <v>1356942</v>
      </c>
      <c r="D10" s="580">
        <v>0</v>
      </c>
      <c r="E10" s="483">
        <f>SUM(B10:D10)</f>
        <v>34615581</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f>5223023-384368</f>
        <v>4838655</v>
      </c>
      <c r="C14" s="582">
        <f>437889-78146</f>
        <v>359743</v>
      </c>
      <c r="D14" s="582">
        <v>0</v>
      </c>
      <c r="E14" s="484">
        <f t="shared" ref="E14:E20" si="0">SUM(B14:D14)</f>
        <v>5198398</v>
      </c>
      <c r="F14" s="460"/>
    </row>
    <row r="15" spans="1:8" s="37" customFormat="1" ht="20.100000000000001" customHeight="1">
      <c r="A15" s="482" t="s">
        <v>637</v>
      </c>
      <c r="B15" s="581">
        <v>384368</v>
      </c>
      <c r="C15" s="570">
        <v>78146</v>
      </c>
      <c r="D15" s="570">
        <v>0</v>
      </c>
      <c r="E15" s="484">
        <f>SUM(B15:D15)</f>
        <v>462514</v>
      </c>
      <c r="F15" s="460"/>
    </row>
    <row r="16" spans="1:8" s="37" customFormat="1" ht="20.100000000000001" customHeight="1">
      <c r="A16" s="482" t="s">
        <v>638</v>
      </c>
      <c r="B16" s="581">
        <v>8970376</v>
      </c>
      <c r="C16" s="570">
        <v>646717</v>
      </c>
      <c r="D16" s="570">
        <v>0</v>
      </c>
      <c r="E16" s="484">
        <f t="shared" si="0"/>
        <v>9617093</v>
      </c>
      <c r="F16" s="460"/>
    </row>
    <row r="17" spans="1:6" s="37" customFormat="1" ht="20.100000000000001" customHeight="1">
      <c r="A17" s="482" t="s">
        <v>639</v>
      </c>
      <c r="B17" s="581">
        <v>9708295</v>
      </c>
      <c r="C17" s="570">
        <v>3351059</v>
      </c>
      <c r="D17" s="570">
        <v>0</v>
      </c>
      <c r="E17" s="484">
        <f t="shared" si="0"/>
        <v>13059354</v>
      </c>
      <c r="F17" s="460"/>
    </row>
    <row r="18" spans="1:6" s="37" customFormat="1" ht="20.100000000000001" customHeight="1">
      <c r="A18" s="482" t="s">
        <v>640</v>
      </c>
      <c r="B18" s="581">
        <v>3887708</v>
      </c>
      <c r="C18" s="570">
        <v>6108214</v>
      </c>
      <c r="D18" s="570">
        <v>0</v>
      </c>
      <c r="E18" s="484">
        <f t="shared" si="0"/>
        <v>9995922</v>
      </c>
      <c r="F18" s="460"/>
    </row>
    <row r="19" spans="1:6" s="37" customFormat="1" ht="20.100000000000001" customHeight="1">
      <c r="A19" s="482" t="s">
        <v>641</v>
      </c>
      <c r="B19" s="581">
        <v>120000</v>
      </c>
      <c r="C19" s="570">
        <v>0</v>
      </c>
      <c r="D19" s="570">
        <v>0</v>
      </c>
      <c r="E19" s="484">
        <f t="shared" si="0"/>
        <v>120000</v>
      </c>
      <c r="F19" s="460"/>
    </row>
    <row r="20" spans="1:6" s="37" customFormat="1" ht="20.100000000000001" customHeight="1" thickBot="1">
      <c r="A20" s="482" t="s">
        <v>642</v>
      </c>
      <c r="B20" s="581">
        <v>0</v>
      </c>
      <c r="C20" s="571">
        <v>3828772</v>
      </c>
      <c r="D20" s="571">
        <v>100000</v>
      </c>
      <c r="E20" s="484">
        <f t="shared" si="0"/>
        <v>3928772</v>
      </c>
      <c r="F20" s="460"/>
    </row>
    <row r="21" spans="1:6" s="37" customFormat="1" ht="24" customHeight="1" thickBot="1">
      <c r="A21" s="380" t="s">
        <v>50</v>
      </c>
      <c r="B21" s="461">
        <f>SUM(B10:B20)</f>
        <v>61168041</v>
      </c>
      <c r="C21" s="464">
        <f>SUM(C10:C20)</f>
        <v>15729593</v>
      </c>
      <c r="D21" s="464">
        <f>SUM(D10:D20)</f>
        <v>100000</v>
      </c>
      <c r="E21" s="463">
        <f>SUM(E10:E20)</f>
        <v>76997634</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A3" sqref="A3"/>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3"/>
  <sheetViews>
    <sheetView showGridLines="0" topLeftCell="A107" zoomScale="60" zoomScaleNormal="60" zoomScaleSheetLayoutView="50" zoomScalePageLayoutView="60" workbookViewId="0">
      <selection activeCell="D83" sqref="D83"/>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Eastern Florida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782</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742</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2165433</v>
      </c>
      <c r="E15" s="938">
        <v>0</v>
      </c>
      <c r="F15" s="939">
        <f t="shared" si="0"/>
        <v>2165433</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232231</v>
      </c>
      <c r="E30" s="938">
        <v>0</v>
      </c>
      <c r="F30" s="939">
        <f t="shared" si="0"/>
        <v>232231</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48755</v>
      </c>
      <c r="E41" s="938">
        <v>0</v>
      </c>
      <c r="F41" s="939">
        <f t="shared" si="0"/>
        <v>48755</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151678+35473</f>
        <v>187151</v>
      </c>
      <c r="E48" s="938">
        <v>0</v>
      </c>
      <c r="F48" s="939">
        <f t="shared" si="0"/>
        <v>187151</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f>264703</f>
        <v>264703</v>
      </c>
      <c r="E49" s="938">
        <v>0</v>
      </c>
      <c r="F49" s="939">
        <f t="shared" si="0"/>
        <v>264703</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f>348740+6380+10042</f>
        <v>365162</v>
      </c>
      <c r="E54" s="938">
        <v>0</v>
      </c>
      <c r="F54" s="939">
        <f t="shared" si="0"/>
        <v>365162</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3263435</v>
      </c>
      <c r="E57" s="349">
        <f>SUM(E10:E56)</f>
        <v>0</v>
      </c>
      <c r="F57" s="349">
        <f t="shared" si="0"/>
        <v>3263435</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0</v>
      </c>
      <c r="E64" s="583">
        <v>0</v>
      </c>
      <c r="F64" s="307">
        <f t="shared" si="0"/>
        <v>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f>258</f>
        <v>258</v>
      </c>
      <c r="E67" s="938">
        <v>0</v>
      </c>
      <c r="F67" s="939">
        <f t="shared" si="0"/>
        <v>258</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0</v>
      </c>
      <c r="E79" s="938">
        <v>0</v>
      </c>
      <c r="F79" s="939">
        <f t="shared" si="0"/>
        <v>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f>113240+2949</f>
        <v>116189</v>
      </c>
      <c r="E83" s="938">
        <v>0</v>
      </c>
      <c r="F83" s="939">
        <f t="shared" si="1"/>
        <v>116189</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116447</v>
      </c>
      <c r="E102" s="345">
        <f>SUM(E64:E101)</f>
        <v>0</v>
      </c>
      <c r="F102" s="345">
        <f t="shared" si="1"/>
        <v>116447</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790</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3379882</v>
      </c>
      <c r="E120" s="345">
        <f>+E57+E102+E118</f>
        <v>0</v>
      </c>
      <c r="F120" s="345">
        <f>SUM(D120:E120)</f>
        <v>3379882</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3333354</v>
      </c>
      <c r="E125" s="938">
        <v>0</v>
      </c>
      <c r="F125" s="939">
        <f t="shared" ref="F125:F135" si="3">+D125+E125</f>
        <v>3333354</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46528</v>
      </c>
      <c r="E126" s="938">
        <v>0</v>
      </c>
      <c r="F126" s="939">
        <f t="shared" si="3"/>
        <v>46528</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783</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3379882</v>
      </c>
      <c r="E136" s="337">
        <f>SUM(E124:E135)</f>
        <v>0</v>
      </c>
      <c r="F136" s="338">
        <f>SUM(F124:F135)</f>
        <v>3379882</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784</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785</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786</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autoPict="0" r:id="rId5">
            <anchor moveWithCells="1">
              <from>
                <xdr:col>0</xdr:col>
                <xdr:colOff>352425</xdr:colOff>
                <xdr:row>5</xdr:row>
                <xdr:rowOff>38100</xdr:rowOff>
              </from>
              <to>
                <xdr:col>0</xdr:col>
                <xdr:colOff>6181725</xdr:colOff>
                <xdr:row>50</xdr:row>
                <xdr:rowOff>19050</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79"/>
  <sheetViews>
    <sheetView showGridLines="0" topLeftCell="A4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16" t="s">
        <v>14</v>
      </c>
      <c r="B1" s="1316"/>
      <c r="C1" s="1316"/>
      <c r="D1" s="1316"/>
      <c r="E1" s="18"/>
      <c r="F1" s="19"/>
    </row>
    <row r="2" spans="1:10" ht="33.6" customHeight="1" thickBot="1">
      <c r="A2" s="1323" t="s">
        <v>15</v>
      </c>
      <c r="B2" s="1323"/>
      <c r="C2" s="1323"/>
      <c r="D2" s="1323"/>
      <c r="E2" s="19"/>
    </row>
    <row r="3" spans="1:10" ht="25.35" customHeight="1" thickBot="1">
      <c r="A3" s="77"/>
      <c r="B3" s="78" t="s">
        <v>748</v>
      </c>
      <c r="C3" s="79"/>
      <c r="D3" s="88"/>
      <c r="E3" s="87"/>
      <c r="F3" s="25"/>
    </row>
    <row r="4" spans="1:10" ht="25.35" customHeight="1" thickBot="1">
      <c r="A4" s="77">
        <v>1</v>
      </c>
      <c r="B4" s="64">
        <v>2</v>
      </c>
      <c r="C4" s="64">
        <v>3</v>
      </c>
      <c r="D4" s="64">
        <v>4</v>
      </c>
      <c r="E4" s="68"/>
      <c r="F4" s="25"/>
    </row>
    <row r="5" spans="1:10" ht="44.1" customHeight="1">
      <c r="A5" s="771" t="s">
        <v>16</v>
      </c>
      <c r="B5" s="1294" t="s">
        <v>787</v>
      </c>
      <c r="C5" s="1295"/>
      <c r="D5" s="1296"/>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5" t="s">
        <v>51</v>
      </c>
      <c r="B36" s="1315"/>
      <c r="C36" s="1315"/>
      <c r="D36" s="1315"/>
      <c r="E36" s="611"/>
      <c r="F36" s="24"/>
      <c r="K36" s="532"/>
    </row>
    <row r="37" spans="1:21" ht="44.45" customHeight="1">
      <c r="A37" s="1314" t="s">
        <v>749</v>
      </c>
      <c r="B37" s="1314"/>
      <c r="C37" s="1314"/>
      <c r="D37" s="1314"/>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750</v>
      </c>
      <c r="B40" s="1176" t="s">
        <v>760</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753</v>
      </c>
      <c r="C48" s="1185"/>
      <c r="D48" s="1185">
        <v>1000000</v>
      </c>
      <c r="E48" s="793">
        <f t="shared" ref="E48:E51" si="2">C48+D48</f>
        <v>1000000</v>
      </c>
      <c r="H48" s="24"/>
    </row>
    <row r="49" spans="1:8" ht="42">
      <c r="A49" s="1191" t="s">
        <v>43</v>
      </c>
      <c r="B49" s="794" t="s">
        <v>754</v>
      </c>
      <c r="C49" s="792"/>
      <c r="D49" s="792">
        <v>510000</v>
      </c>
      <c r="E49" s="793">
        <f t="shared" si="2"/>
        <v>510000</v>
      </c>
      <c r="H49" s="24"/>
    </row>
    <row r="50" spans="1:8" ht="42">
      <c r="A50" s="1191" t="s">
        <v>43</v>
      </c>
      <c r="B50" s="794" t="s">
        <v>755</v>
      </c>
      <c r="C50" s="792"/>
      <c r="D50" s="792">
        <v>674484</v>
      </c>
      <c r="E50" s="793">
        <f t="shared" si="2"/>
        <v>674484</v>
      </c>
      <c r="H50" s="24"/>
    </row>
    <row r="51" spans="1:8" ht="42">
      <c r="A51" s="1191" t="s">
        <v>758</v>
      </c>
      <c r="B51" s="794" t="s">
        <v>756</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759</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757</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742</v>
      </c>
      <c r="B61" s="508" t="str">
        <f>B3</f>
        <v>Date Updated:   05.5.21    BY:  EN</v>
      </c>
      <c r="C61" s="53" t="s">
        <v>10</v>
      </c>
      <c r="D61" s="53"/>
      <c r="F61" s="24"/>
      <c r="G61" s="24"/>
      <c r="H61" s="24"/>
    </row>
    <row r="62" spans="1:8" ht="45" customHeight="1" thickBot="1">
      <c r="A62" s="1307" t="s">
        <v>761</v>
      </c>
      <c r="B62" s="1308"/>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751</v>
      </c>
      <c r="B69" s="1311" t="str">
        <f>B3</f>
        <v>Date Updated:   05.5.21    BY:  EN</v>
      </c>
      <c r="C69" s="1312"/>
      <c r="D69" s="1312"/>
      <c r="E69" s="1313"/>
      <c r="F69" s="21"/>
      <c r="G69" s="53"/>
      <c r="H69" s="24"/>
    </row>
    <row r="70" spans="1:13" ht="87.6" customHeight="1" thickBot="1">
      <c r="A70" s="50" t="s">
        <v>17</v>
      </c>
      <c r="B70" s="30" t="s">
        <v>752</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324" t="s">
        <v>766</v>
      </c>
      <c r="B102" s="1324"/>
      <c r="C102" s="1324"/>
      <c r="D102" s="1324"/>
      <c r="E102" s="1324"/>
      <c r="F102" s="1324"/>
      <c r="G102" s="1324"/>
      <c r="H102" s="1324"/>
      <c r="I102" s="1324"/>
      <c r="J102" s="1324"/>
      <c r="K102" s="1324"/>
      <c r="L102" s="1324"/>
      <c r="M102" s="1324"/>
      <c r="N102" s="1324"/>
      <c r="O102" s="1324"/>
      <c r="P102" s="1324"/>
      <c r="Q102" s="1324"/>
      <c r="R102" s="1324"/>
    </row>
    <row r="103" spans="1:54" ht="20.100000000000001" customHeight="1">
      <c r="A103" s="1322" t="s">
        <v>72</v>
      </c>
      <c r="B103" s="1322"/>
      <c r="C103" s="1322"/>
      <c r="D103" s="1322"/>
      <c r="E103" s="1322"/>
      <c r="F103" s="1322"/>
      <c r="G103" s="1322"/>
      <c r="H103" s="1322"/>
      <c r="I103" s="1322"/>
      <c r="J103" s="1322"/>
      <c r="K103" s="1322"/>
      <c r="L103" s="1322"/>
      <c r="M103" s="1322"/>
      <c r="N103" s="1322"/>
      <c r="O103" s="1322"/>
      <c r="P103" s="1322"/>
      <c r="Q103" s="1322"/>
      <c r="R103" s="1322"/>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22" t="s">
        <v>74</v>
      </c>
      <c r="B105" s="1322"/>
      <c r="C105" s="1322"/>
      <c r="D105" s="1322"/>
      <c r="E105" s="1322"/>
      <c r="F105" s="1322"/>
      <c r="G105" s="1322"/>
      <c r="H105" s="1322"/>
      <c r="I105" s="1322"/>
      <c r="J105" s="1322"/>
      <c r="K105" s="1322"/>
      <c r="L105" s="1322"/>
      <c r="M105" s="1322"/>
      <c r="N105" s="1322"/>
      <c r="O105" s="1322"/>
      <c r="P105" s="1322"/>
      <c r="Q105" s="1322"/>
      <c r="R105" s="1322"/>
    </row>
    <row r="106" spans="1:54" ht="20.100000000000001" customHeight="1">
      <c r="A106" s="1322"/>
      <c r="B106" s="1322"/>
      <c r="C106" s="1322"/>
      <c r="D106" s="1322"/>
      <c r="E106" s="1322"/>
      <c r="F106" s="1322"/>
      <c r="G106" s="1322"/>
    </row>
    <row r="107" spans="1:54" ht="32.450000000000003" customHeight="1" thickBot="1">
      <c r="E107" s="603"/>
      <c r="F107" s="603"/>
      <c r="G107" s="603"/>
      <c r="H107" s="27"/>
      <c r="I107" s="27"/>
      <c r="J107" s="27"/>
      <c r="K107" s="27"/>
    </row>
    <row r="108" spans="1:54" ht="43.35" customHeight="1" thickBot="1">
      <c r="A108" s="58" t="s">
        <v>762</v>
      </c>
      <c r="B108" s="1317" t="s">
        <v>765</v>
      </c>
      <c r="C108" s="1318"/>
      <c r="D108" s="1319"/>
      <c r="E108" s="1320" t="s">
        <v>75</v>
      </c>
      <c r="F108" s="1320"/>
      <c r="G108" s="1320"/>
      <c r="H108" s="1320"/>
      <c r="I108" s="1320"/>
      <c r="J108" s="1320"/>
      <c r="K108" s="1320"/>
      <c r="L108" s="1320"/>
      <c r="M108" s="1320"/>
      <c r="N108" s="1320"/>
      <c r="O108" s="1320"/>
      <c r="P108" s="1320"/>
      <c r="Q108" s="1320"/>
      <c r="R108" s="1320"/>
      <c r="S108" s="1321"/>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5" t="s">
        <v>76</v>
      </c>
      <c r="U109" s="38"/>
      <c r="V109" s="55">
        <v>20</v>
      </c>
      <c r="W109" s="773">
        <v>21</v>
      </c>
      <c r="X109" s="773">
        <v>22</v>
      </c>
      <c r="Y109" s="73"/>
      <c r="Z109" s="773">
        <v>23</v>
      </c>
      <c r="AA109" s="773">
        <v>24</v>
      </c>
      <c r="AB109" s="774">
        <v>25</v>
      </c>
      <c r="AC109" s="40"/>
      <c r="AD109" s="37"/>
    </row>
    <row r="110" spans="1:54" ht="29.45" customHeight="1" thickBot="1">
      <c r="A110" s="67" t="s">
        <v>77</v>
      </c>
      <c r="B110" s="1276" t="s">
        <v>78</v>
      </c>
      <c r="C110" s="1277"/>
      <c r="D110" s="1278"/>
      <c r="E110" s="39"/>
      <c r="F110" s="1280" t="s">
        <v>79</v>
      </c>
      <c r="G110" s="1280"/>
      <c r="H110" s="1280"/>
      <c r="I110" s="1280"/>
      <c r="J110" s="1280"/>
      <c r="K110" s="1280"/>
      <c r="L110" s="1280"/>
      <c r="M110" s="1280"/>
      <c r="N110" s="1280"/>
      <c r="O110" s="1280"/>
      <c r="P110" s="1280"/>
      <c r="Q110" s="1281" t="s">
        <v>80</v>
      </c>
      <c r="R110" s="1282"/>
      <c r="S110" s="1283"/>
      <c r="T110" s="1306"/>
      <c r="U110" s="41"/>
      <c r="V110" s="42"/>
      <c r="W110" s="43"/>
      <c r="X110" s="44"/>
      <c r="Y110" s="74"/>
      <c r="Z110" s="1286"/>
      <c r="AA110" s="1287"/>
      <c r="AB110" s="1288"/>
      <c r="AC110" s="22"/>
      <c r="AD110" s="733" t="s">
        <v>81</v>
      </c>
      <c r="AF110" s="36"/>
      <c r="AG110" s="37"/>
    </row>
    <row r="111" spans="1:54" ht="66" customHeight="1" thickBot="1">
      <c r="A111" s="45"/>
      <c r="B111" s="1289" t="s">
        <v>82</v>
      </c>
      <c r="C111" s="1290"/>
      <c r="D111" s="1291"/>
      <c r="E111" s="1289" t="s">
        <v>83</v>
      </c>
      <c r="F111" s="1290"/>
      <c r="G111" s="1291"/>
      <c r="H111" s="1289" t="s">
        <v>84</v>
      </c>
      <c r="I111" s="1290"/>
      <c r="J111" s="1291"/>
      <c r="K111" s="1300" t="s">
        <v>85</v>
      </c>
      <c r="L111" s="1300"/>
      <c r="M111" s="1300"/>
      <c r="N111" s="1301" t="s">
        <v>86</v>
      </c>
      <c r="O111" s="1302"/>
      <c r="P111" s="1303"/>
      <c r="Q111" s="1301" t="s">
        <v>87</v>
      </c>
      <c r="R111" s="1302"/>
      <c r="S111" s="1303"/>
      <c r="T111" s="1284" t="s">
        <v>88</v>
      </c>
      <c r="U111" s="26"/>
      <c r="V111" s="1297" t="s">
        <v>89</v>
      </c>
      <c r="W111" s="1298"/>
      <c r="X111" s="1304"/>
      <c r="Y111" s="69"/>
      <c r="Z111" s="1297" t="s">
        <v>90</v>
      </c>
      <c r="AA111" s="1298"/>
      <c r="AB111" s="1299"/>
      <c r="AC111" s="27"/>
      <c r="AD111" s="54" t="s">
        <v>91</v>
      </c>
      <c r="AF111" s="22"/>
      <c r="AG111" s="24"/>
      <c r="AI111" s="1292" t="s">
        <v>92</v>
      </c>
      <c r="AJ111" s="1292"/>
      <c r="AK111" s="1292"/>
      <c r="AL111" s="1292"/>
      <c r="AM111" s="1292"/>
      <c r="AN111" s="1292"/>
      <c r="AO111" s="1292"/>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285"/>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79" t="s">
        <v>98</v>
      </c>
      <c r="AJ113" s="1279"/>
      <c r="AK113" s="1279"/>
      <c r="AL113" s="1279"/>
      <c r="AM113" s="1279"/>
      <c r="AN113" s="1279"/>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79" t="s">
        <v>99</v>
      </c>
      <c r="AJ114" s="1279"/>
      <c r="AK114" s="1279"/>
      <c r="AL114" s="1279"/>
      <c r="AM114" s="1279"/>
      <c r="AN114" s="1279"/>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79" t="s">
        <v>100</v>
      </c>
      <c r="AJ115" s="1279"/>
      <c r="AK115" s="1279"/>
      <c r="AL115" s="1279"/>
      <c r="AM115" s="1279"/>
      <c r="AN115" s="1279"/>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763</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5" t="s">
        <v>101</v>
      </c>
      <c r="AJ120" s="1275"/>
      <c r="AK120" s="1275"/>
      <c r="AL120" s="1275"/>
      <c r="AM120" s="1275"/>
      <c r="AN120" s="1275"/>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5" t="s">
        <v>764</v>
      </c>
      <c r="AJ122" s="1275"/>
      <c r="AK122" s="1275"/>
      <c r="AL122" s="1275"/>
      <c r="AM122" s="1275"/>
      <c r="AN122" s="1275"/>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789</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10" t="s">
        <v>103</v>
      </c>
      <c r="B145" s="1310"/>
      <c r="C145" s="1310"/>
      <c r="D145" s="1310"/>
      <c r="E145" s="96"/>
    </row>
    <row r="146" spans="1:5">
      <c r="A146" s="1309" t="s">
        <v>104</v>
      </c>
      <c r="B146" s="1309"/>
      <c r="C146" s="1309"/>
      <c r="D146" s="1309"/>
    </row>
    <row r="147" spans="1:5">
      <c r="A147" s="1293" t="s">
        <v>105</v>
      </c>
      <c r="B147" s="1293"/>
      <c r="C147" s="1293"/>
      <c r="D147" s="1293"/>
      <c r="E147" s="1293"/>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C153" sqref="C153"/>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741</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21</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788</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6.1810400558769199E-2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742</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31980</v>
      </c>
      <c r="E44" s="140">
        <f>+'EXHIBIT C'!F10</f>
        <v>36315</v>
      </c>
      <c r="F44" s="141">
        <f t="shared" ref="F44:F50" si="0">IF(D44=0,"0",(E44/D44-1))</f>
        <v>0.13555347091932468</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146273.53708752993</v>
      </c>
      <c r="E45" s="144">
        <f>+'EXHIBIT C'!F11</f>
        <v>141898</v>
      </c>
      <c r="F45" s="823">
        <f t="shared" si="0"/>
        <v>-2.9913388126463492E-2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49432.034069582791</v>
      </c>
      <c r="E46" s="827">
        <f>+'EXHIBIT C'!F12</f>
        <v>47950</v>
      </c>
      <c r="F46" s="823">
        <f t="shared" si="0"/>
        <v>-2.9981247939273814E-2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8599.7671711292205</v>
      </c>
      <c r="E47" s="827">
        <f>+'EXHIBIT C'!F13</f>
        <v>8694</v>
      </c>
      <c r="F47" s="823">
        <f t="shared" si="0"/>
        <v>1.0957602339181305E-2</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4350.7626076260767</v>
      </c>
      <c r="E48" s="827">
        <f>+'EXHIBIT C'!F14</f>
        <v>4221</v>
      </c>
      <c r="F48" s="823">
        <f t="shared" si="0"/>
        <v>-2.982525578357853E-2</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240636.10093586802</v>
      </c>
      <c r="E50" s="147">
        <f>+'EXHIBIT C'!F17</f>
        <v>239078</v>
      </c>
      <c r="F50" s="148">
        <f t="shared" si="0"/>
        <v>-6.4749259558658512E-3</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793</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159</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4622.3734071559738</v>
      </c>
      <c r="E69" s="161">
        <f>+'EXHIBIT C'!D20</f>
        <v>2392</v>
      </c>
      <c r="F69" s="834">
        <f t="shared" si="2"/>
        <v>-0.48251692598073004</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1206.7128627111304</v>
      </c>
      <c r="E70" s="837">
        <f>+'EXHIBIT C'!D21</f>
        <v>1147</v>
      </c>
      <c r="F70" s="834">
        <f t="shared" si="2"/>
        <v>-4.9483903384416661E-2</v>
      </c>
      <c r="G70" s="835"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404.52852153667055</v>
      </c>
      <c r="E71" s="837">
        <f>+'EXHIBIT C'!D22</f>
        <v>90</v>
      </c>
      <c r="F71" s="834">
        <f t="shared" si="2"/>
        <v>-0.77751877751877752</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479.23739237392368</v>
      </c>
      <c r="E72" s="837">
        <f>+'EXHIBIT C'!D23</f>
        <v>256</v>
      </c>
      <c r="F72" s="834">
        <f t="shared" si="2"/>
        <v>-0.46581797648991319</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6712.852183777698</v>
      </c>
      <c r="E74" s="163">
        <f>SUM(E68:E73)</f>
        <v>4044</v>
      </c>
      <c r="F74" s="164">
        <f t="shared" si="2"/>
        <v>-0.39757350686601678</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t="s">
        <v>791</v>
      </c>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37906780</v>
      </c>
      <c r="E102" s="846">
        <f>+'EXHIBIT D'!G75</f>
        <v>37906780</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901945</v>
      </c>
      <c r="E103" s="846">
        <f>'EXHIBIT D'!G77</f>
        <v>901945</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7485794</v>
      </c>
      <c r="E104" s="846">
        <f>'EXHIBIT D'!G81</f>
        <v>7485794</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46294519</v>
      </c>
      <c r="E106" s="179">
        <f t="shared" ref="E106:F106" si="4">SUM(E102:E104)</f>
        <v>46294519</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747</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5072803</v>
      </c>
      <c r="D119" s="1002" t="s">
        <v>745</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5072803</v>
      </c>
      <c r="D120" s="1005" t="s">
        <v>746</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45671984</v>
      </c>
      <c r="D126" s="37" t="s">
        <v>743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45671984</v>
      </c>
      <c r="D127" s="37" t="s">
        <v>744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91.790004130524579</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292.62893081761007</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22" zoomScale="70" zoomScaleNormal="70" zoomScaleSheetLayoutView="90" zoomScalePageLayoutView="70" workbookViewId="0">
      <selection activeCell="M25" sqref="M25"/>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768</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Eastern Florida State College</v>
      </c>
      <c r="D8" s="1053"/>
      <c r="E8" s="1053"/>
      <c r="F8" s="434"/>
      <c r="G8" s="434"/>
    </row>
    <row r="9" spans="2:7" ht="25.35" customHeight="1">
      <c r="D9" s="151"/>
      <c r="E9" s="151"/>
      <c r="F9" s="151"/>
      <c r="G9" s="151"/>
    </row>
    <row r="10" spans="2:7" ht="41.45" customHeight="1">
      <c r="E10" s="722" t="s">
        <v>195</v>
      </c>
    </row>
    <row r="11" spans="2:7" ht="25.35" customHeight="1">
      <c r="B11" s="114" t="s">
        <v>769</v>
      </c>
      <c r="D11" s="114"/>
      <c r="E11" s="202"/>
    </row>
    <row r="12" spans="2:7" ht="25.35" customHeight="1">
      <c r="B12" s="114"/>
      <c r="C12" s="114"/>
      <c r="D12" s="114"/>
    </row>
    <row r="13" spans="2:7" ht="25.35" customHeight="1">
      <c r="B13" s="37" t="s">
        <v>777</v>
      </c>
      <c r="C13" s="114"/>
      <c r="D13" s="114"/>
      <c r="E13" s="585">
        <v>-39039469</v>
      </c>
    </row>
    <row r="14" spans="2:7" ht="25.35" customHeight="1">
      <c r="B14" s="37" t="s">
        <v>196</v>
      </c>
      <c r="D14" s="114"/>
      <c r="E14" s="723">
        <v>45671984</v>
      </c>
    </row>
    <row r="15" spans="2:7" ht="25.35" customHeight="1">
      <c r="B15" s="114"/>
      <c r="C15" s="24"/>
      <c r="D15" s="114"/>
      <c r="E15" s="203"/>
    </row>
    <row r="16" spans="2:7" ht="25.35" customHeight="1">
      <c r="B16" s="24" t="s">
        <v>770</v>
      </c>
      <c r="C16" s="114"/>
      <c r="D16" s="35"/>
      <c r="E16" s="724">
        <f>+E14+E13</f>
        <v>6632515</v>
      </c>
    </row>
    <row r="17" spans="2:7" ht="25.35" customHeight="1">
      <c r="B17" s="114"/>
      <c r="C17" s="35"/>
      <c r="D17" s="114"/>
      <c r="E17" s="204"/>
    </row>
    <row r="18" spans="2:7" ht="25.35" customHeight="1">
      <c r="B18" s="37" t="s">
        <v>197</v>
      </c>
      <c r="C18" s="114"/>
      <c r="D18" s="114"/>
      <c r="E18" s="216">
        <f>+'EXHIBIT D'!G143-SUM(+'EXHIBIT D'!G132+'EXHIBIT D'!G133+'EXHIBIT D'!G134+'EXHIBIT D'!G135)</f>
        <v>75437864</v>
      </c>
      <c r="G18" s="205"/>
    </row>
    <row r="19" spans="2:7" ht="25.35" customHeight="1">
      <c r="B19" s="37" t="s">
        <v>198</v>
      </c>
      <c r="D19" s="114"/>
      <c r="E19" s="724">
        <f>+'EXHIBIT D'!G132+'EXHIBIT D'!G133+'EXHIBIT D'!G134+'EXHIBIT D'!G135</f>
        <v>0</v>
      </c>
    </row>
    <row r="20" spans="2:7" ht="25.35" customHeight="1">
      <c r="B20" s="114"/>
      <c r="D20" s="114"/>
      <c r="E20" s="211"/>
    </row>
    <row r="21" spans="2:7" ht="25.35" customHeight="1">
      <c r="B21" s="37" t="s">
        <v>199</v>
      </c>
      <c r="C21" s="114"/>
      <c r="D21" s="114"/>
      <c r="E21" s="725">
        <f>+E19+E18</f>
        <v>75437864</v>
      </c>
    </row>
    <row r="22" spans="2:7" ht="25.35" customHeight="1">
      <c r="B22" s="114"/>
      <c r="C22" s="114"/>
      <c r="D22" s="114"/>
      <c r="E22" s="211"/>
    </row>
    <row r="23" spans="2:7" ht="25.35" customHeight="1">
      <c r="B23" s="114" t="s">
        <v>200</v>
      </c>
      <c r="C23" s="114"/>
      <c r="D23" s="114"/>
      <c r="E23" s="725">
        <f>+E21+E16</f>
        <v>82070379</v>
      </c>
    </row>
    <row r="24" spans="2:7" ht="25.35" customHeight="1">
      <c r="B24" s="114"/>
      <c r="C24" s="114"/>
      <c r="D24" s="114"/>
      <c r="E24" s="211"/>
    </row>
    <row r="25" spans="2:7" ht="25.35" customHeight="1">
      <c r="B25" s="37" t="s">
        <v>201</v>
      </c>
      <c r="C25" s="114"/>
      <c r="D25" s="114"/>
      <c r="E25" s="217">
        <f>'EXHIBIT D'!G256-SUM(+'EXHIBIT D'!G229+'EXHIBIT D'!G230+'EXHIBIT D'!G231+'EXHIBIT D'!G232+'EXHIBIT D'!G233)</f>
        <v>75928541</v>
      </c>
    </row>
    <row r="26" spans="2:7" ht="25.35" customHeight="1">
      <c r="B26" s="37" t="s">
        <v>202</v>
      </c>
      <c r="D26" s="114"/>
      <c r="E26" s="724">
        <f>'EXHIBIT D'!G229+'EXHIBIT D'!G230+'EXHIBIT D'!G231+'EXHIBIT D'!G232+'EXHIBIT D'!G233</f>
        <v>1069093</v>
      </c>
    </row>
    <row r="27" spans="2:7" ht="25.35" customHeight="1">
      <c r="B27" s="114"/>
      <c r="D27" s="114"/>
      <c r="E27" s="211"/>
    </row>
    <row r="28" spans="2:7" ht="25.35" customHeight="1">
      <c r="B28" s="114" t="s">
        <v>203</v>
      </c>
      <c r="C28" s="114"/>
      <c r="D28" s="114"/>
      <c r="E28" s="726">
        <f>+E26+E25</f>
        <v>76997634</v>
      </c>
    </row>
    <row r="29" spans="2:7" ht="25.35" customHeight="1">
      <c r="B29" s="114"/>
      <c r="C29" s="114"/>
      <c r="D29" s="114"/>
      <c r="E29" s="206"/>
    </row>
    <row r="30" spans="2:7" ht="25.35" customHeight="1">
      <c r="B30" s="114" t="s">
        <v>771</v>
      </c>
      <c r="C30" s="114"/>
      <c r="D30" s="114"/>
      <c r="E30" s="206"/>
    </row>
    <row r="31" spans="2:7" ht="25.35" customHeight="1">
      <c r="B31" s="114"/>
      <c r="C31" s="114"/>
      <c r="D31" s="114"/>
      <c r="E31" s="206"/>
    </row>
    <row r="32" spans="2:7" ht="25.35" customHeight="1">
      <c r="B32" s="37" t="s">
        <v>204</v>
      </c>
      <c r="C32" s="114"/>
      <c r="D32" s="207">
        <f>+E23-E28</f>
        <v>5072745</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772</v>
      </c>
      <c r="C35" s="114"/>
      <c r="D35" s="114"/>
      <c r="E35" s="209">
        <f>+D32+D33</f>
        <v>5072745</v>
      </c>
      <c r="J35" s="151"/>
    </row>
    <row r="36" spans="2:10" ht="25.35" customHeight="1">
      <c r="B36" s="37" t="s">
        <v>773</v>
      </c>
      <c r="C36" s="114"/>
      <c r="D36" s="114"/>
      <c r="E36" s="725">
        <f>-'EXHIBIT D'!G272</f>
        <v>45671984</v>
      </c>
      <c r="J36" s="210"/>
    </row>
    <row r="37" spans="2:10" ht="25.35" customHeight="1">
      <c r="D37" s="114"/>
      <c r="E37" s="209"/>
      <c r="J37" s="151"/>
    </row>
    <row r="38" spans="2:10" ht="25.35" customHeight="1">
      <c r="B38" s="114" t="s">
        <v>774</v>
      </c>
      <c r="D38" s="114"/>
      <c r="E38" s="724">
        <f>+E35-E36</f>
        <v>-40599239</v>
      </c>
      <c r="J38" s="151"/>
    </row>
    <row r="39" spans="2:10" ht="25.35" customHeight="1">
      <c r="B39" s="114"/>
      <c r="C39" s="114"/>
      <c r="D39" s="114"/>
      <c r="E39" s="211"/>
    </row>
    <row r="40" spans="2:10" ht="25.35" customHeight="1">
      <c r="B40" s="24" t="s">
        <v>775</v>
      </c>
      <c r="C40" s="114"/>
      <c r="D40" s="35"/>
      <c r="E40" s="726">
        <f>'EXHIBIT D'!G261+'EXHIBIT D'!G262+'EXHIBIT D'!G263+'EXHIBIT D'!G264+'EXHIBIT D'!G265+'EXHIBIT D'!G266+'EXHIBIT D'!G267+'EXHIBIT D'!G268</f>
        <v>5072803</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776</v>
      </c>
      <c r="C44" s="114"/>
      <c r="D44" s="114"/>
      <c r="E44" s="728">
        <f>+E40/E23</f>
        <v>6.1810400558769199E-2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10" zoomScale="50" zoomScaleNormal="50" zoomScalePageLayoutView="50" workbookViewId="0">
      <selection activeCell="D14" sqref="D14"/>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778</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Eastern Florida State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4.59</v>
      </c>
      <c r="D14" s="1215">
        <v>9.18</v>
      </c>
      <c r="E14" s="1215">
        <v>18.36</v>
      </c>
      <c r="F14" s="1215">
        <v>4.59</v>
      </c>
      <c r="G14" s="857">
        <f>SUM(B14:F14)</f>
        <v>128.51</v>
      </c>
      <c r="H14" s="477">
        <f>G14*30</f>
        <v>3855.2999999999997</v>
      </c>
      <c r="I14" s="24"/>
    </row>
    <row r="15" spans="1:18" s="37" customFormat="1" ht="20.100000000000001" customHeight="1">
      <c r="A15" s="114" t="s">
        <v>223</v>
      </c>
      <c r="B15" s="1216">
        <v>78.84</v>
      </c>
      <c r="C15" s="1216">
        <v>3.46</v>
      </c>
      <c r="D15" s="1216">
        <v>7.88</v>
      </c>
      <c r="E15" s="1216">
        <v>9.8800000000000008</v>
      </c>
      <c r="F15" s="1216">
        <v>3.94</v>
      </c>
      <c r="G15" s="857">
        <f>SUM(B15:F15)</f>
        <v>103.99999999999999</v>
      </c>
      <c r="H15" s="440">
        <f>G15*30</f>
        <v>3119.9999999999995</v>
      </c>
      <c r="I15" s="24"/>
    </row>
    <row r="16" spans="1:18" s="37" customFormat="1" ht="20.100000000000001" customHeight="1" thickBot="1">
      <c r="A16" s="35" t="s">
        <v>87</v>
      </c>
      <c r="B16" s="1217">
        <v>69.599999999999994</v>
      </c>
      <c r="C16" s="1217">
        <v>0</v>
      </c>
      <c r="D16" s="1218"/>
      <c r="E16" s="1217">
        <v>3.6</v>
      </c>
      <c r="F16" s="1217">
        <v>3.6</v>
      </c>
      <c r="G16" s="441">
        <f>SUM(B16:F16)</f>
        <v>76.799999999999983</v>
      </c>
      <c r="H16" s="858">
        <f>G16*30</f>
        <v>2303.9999999999995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v>292.63</v>
      </c>
      <c r="D29" s="1215">
        <v>19.22</v>
      </c>
      <c r="E29" s="680">
        <f>D14</f>
        <v>9.18</v>
      </c>
      <c r="F29" s="1215">
        <v>76.88</v>
      </c>
      <c r="G29" s="1215">
        <v>19.22</v>
      </c>
      <c r="H29" s="451">
        <f>SUM(B29:G29)</f>
        <v>508.91999999999996</v>
      </c>
      <c r="I29" s="471">
        <f>H29*30</f>
        <v>15267.599999999999</v>
      </c>
      <c r="J29" s="24"/>
    </row>
    <row r="30" spans="1:11" s="37" customFormat="1" ht="20.100000000000001" customHeight="1">
      <c r="A30" s="114" t="str">
        <f t="shared" si="0"/>
        <v>LOWER LEVEL - CREDIT (A &amp; P, PSV, DEVELOPMENTAL EDUCATION AND EPI)</v>
      </c>
      <c r="B30" s="861">
        <f t="shared" si="0"/>
        <v>78.84</v>
      </c>
      <c r="C30" s="1219">
        <v>236.69</v>
      </c>
      <c r="D30" s="1219">
        <v>3.46</v>
      </c>
      <c r="E30" s="862">
        <f>D15</f>
        <v>7.88</v>
      </c>
      <c r="F30" s="1219">
        <v>63.11</v>
      </c>
      <c r="G30" s="1219">
        <v>15.78</v>
      </c>
      <c r="H30" s="857">
        <f>SUM(B30:G30)</f>
        <v>405.75999999999993</v>
      </c>
      <c r="I30" s="440">
        <f>H30*30</f>
        <v>12172.799999999997</v>
      </c>
    </row>
    <row r="31" spans="1:11" s="37" customFormat="1" ht="20.100000000000001" customHeight="1" thickBot="1">
      <c r="A31" s="114" t="str">
        <f t="shared" si="0"/>
        <v>CAREER CERTIFICATE AND APPLIED TECHNOLOGY DIPLOMA</v>
      </c>
      <c r="B31" s="530">
        <f t="shared" si="0"/>
        <v>69.599999999999994</v>
      </c>
      <c r="C31" s="1216">
        <v>209.7</v>
      </c>
      <c r="D31" s="1216">
        <v>0</v>
      </c>
      <c r="E31" s="408"/>
      <c r="F31" s="1216">
        <v>14.1</v>
      </c>
      <c r="G31" s="1216">
        <v>14.1</v>
      </c>
      <c r="H31" s="441">
        <f>SUM(B31:G31)</f>
        <v>307.5</v>
      </c>
      <c r="I31" s="858">
        <f>H31*30</f>
        <v>9225</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779</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opLeftCell="A7" zoomScale="50" zoomScaleNormal="50" zoomScaleSheetLayoutView="50" zoomScalePageLayoutView="50" workbookViewId="0">
      <selection activeCell="B55" sqref="B5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780</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Eastern Florida State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36750</v>
      </c>
      <c r="E10" s="684">
        <v>435</v>
      </c>
      <c r="F10" s="685">
        <f t="shared" ref="F10:F15" si="0">+D10-E10</f>
        <v>36315</v>
      </c>
      <c r="G10" s="685">
        <f>'EXHIBIT B'!B14</f>
        <v>91.79</v>
      </c>
      <c r="H10" s="686">
        <f>ROUND(+F10*G10,0)</f>
        <v>3333354</v>
      </c>
      <c r="I10" s="151"/>
      <c r="J10" s="151"/>
    </row>
    <row r="11" spans="1:10" ht="20.100000000000001" customHeight="1">
      <c r="A11" s="868" t="s">
        <v>216</v>
      </c>
      <c r="B11" s="868" t="s">
        <v>140</v>
      </c>
      <c r="C11" s="869" t="s">
        <v>244</v>
      </c>
      <c r="D11" s="867">
        <v>199675</v>
      </c>
      <c r="E11" s="867">
        <v>57777</v>
      </c>
      <c r="F11" s="870">
        <f t="shared" si="0"/>
        <v>141898</v>
      </c>
      <c r="G11" s="870">
        <f>+'EXHIBIT B'!B15</f>
        <v>78.84</v>
      </c>
      <c r="H11" s="871">
        <f t="shared" ref="H11:H15" si="1">ROUND(+F11*G11,0)</f>
        <v>11187238</v>
      </c>
      <c r="I11" s="151"/>
      <c r="J11" s="151"/>
    </row>
    <row r="12" spans="1:10" ht="20.100000000000001" customHeight="1">
      <c r="A12" s="868" t="s">
        <v>216</v>
      </c>
      <c r="B12" s="868" t="s">
        <v>141</v>
      </c>
      <c r="C12" s="869" t="s">
        <v>245</v>
      </c>
      <c r="D12" s="867">
        <f>55080-1103</f>
        <v>53977</v>
      </c>
      <c r="E12" s="867">
        <v>6027</v>
      </c>
      <c r="F12" s="870">
        <f t="shared" si="0"/>
        <v>47950</v>
      </c>
      <c r="G12" s="870">
        <f>+'EXHIBIT B'!B15</f>
        <v>78.84</v>
      </c>
      <c r="H12" s="871">
        <f t="shared" si="1"/>
        <v>3780378</v>
      </c>
      <c r="I12" s="151"/>
      <c r="J12" s="151"/>
    </row>
    <row r="13" spans="1:10" ht="20.100000000000001" customHeight="1">
      <c r="A13" s="868" t="s">
        <v>216</v>
      </c>
      <c r="B13" s="868" t="s">
        <v>87</v>
      </c>
      <c r="C13" s="869" t="s">
        <v>246</v>
      </c>
      <c r="D13" s="872">
        <v>9150</v>
      </c>
      <c r="E13" s="872">
        <v>456</v>
      </c>
      <c r="F13" s="870">
        <f t="shared" si="0"/>
        <v>8694</v>
      </c>
      <c r="G13" s="870">
        <f>+'EXHIBIT B'!B16</f>
        <v>69.599999999999994</v>
      </c>
      <c r="H13" s="871">
        <f t="shared" si="1"/>
        <v>605102</v>
      </c>
      <c r="I13" s="151"/>
      <c r="J13" s="151"/>
    </row>
    <row r="14" spans="1:10" ht="20.100000000000001" customHeight="1">
      <c r="A14" s="868" t="s">
        <v>216</v>
      </c>
      <c r="B14" s="868" t="s">
        <v>142</v>
      </c>
      <c r="C14" s="869" t="s">
        <v>247</v>
      </c>
      <c r="D14" s="867">
        <v>4413</v>
      </c>
      <c r="E14" s="867">
        <v>192</v>
      </c>
      <c r="F14" s="870">
        <f t="shared" si="0"/>
        <v>4221</v>
      </c>
      <c r="G14" s="870">
        <f>+'EXHIBIT B'!B15</f>
        <v>78.84</v>
      </c>
      <c r="H14" s="871">
        <f t="shared" si="1"/>
        <v>332784</v>
      </c>
      <c r="I14" s="151"/>
      <c r="J14" s="151"/>
    </row>
    <row r="15" spans="1:10" ht="20.100000000000001" customHeight="1" thickBot="1">
      <c r="A15" s="873" t="s">
        <v>216</v>
      </c>
      <c r="B15" s="873" t="s">
        <v>143</v>
      </c>
      <c r="C15" s="874">
        <v>40160</v>
      </c>
      <c r="D15" s="875">
        <v>0</v>
      </c>
      <c r="E15" s="875">
        <v>0</v>
      </c>
      <c r="F15" s="876">
        <f t="shared" si="0"/>
        <v>0</v>
      </c>
      <c r="G15" s="876">
        <f>+'EXHIBIT B'!B15</f>
        <v>78.84</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303965</v>
      </c>
      <c r="E17" s="389">
        <f>SUM(E10:E15)</f>
        <v>64887</v>
      </c>
      <c r="F17" s="390">
        <f>SUM(F10:F15)</f>
        <v>239078</v>
      </c>
      <c r="G17" s="390"/>
      <c r="H17" s="391">
        <f>SUM(H10:H15)</f>
        <v>19238856</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159</v>
      </c>
      <c r="E19" s="880">
        <f>'EXHIBIT B'!C29</f>
        <v>292.63</v>
      </c>
      <c r="F19" s="881">
        <f t="shared" ref="F19:F24" si="2">ROUND(+D19*E19,0)</f>
        <v>46528</v>
      </c>
      <c r="G19" s="393"/>
      <c r="H19" s="393"/>
    </row>
    <row r="20" spans="1:10" ht="20.100000000000001" customHeight="1">
      <c r="A20" s="882" t="s">
        <v>231</v>
      </c>
      <c r="B20" s="882" t="s">
        <v>140</v>
      </c>
      <c r="C20" s="883" t="s">
        <v>251</v>
      </c>
      <c r="D20" s="890">
        <f>4806-2414</f>
        <v>2392</v>
      </c>
      <c r="E20" s="884">
        <f>+'EXHIBIT B'!C30</f>
        <v>236.69</v>
      </c>
      <c r="F20" s="885">
        <f t="shared" si="2"/>
        <v>566162</v>
      </c>
      <c r="G20" s="394"/>
      <c r="H20" s="394"/>
    </row>
    <row r="21" spans="1:10" ht="20.100000000000001" customHeight="1">
      <c r="A21" s="882" t="s">
        <v>231</v>
      </c>
      <c r="B21" s="882" t="s">
        <v>141</v>
      </c>
      <c r="C21" s="883" t="s">
        <v>252</v>
      </c>
      <c r="D21" s="890">
        <v>1147</v>
      </c>
      <c r="E21" s="884">
        <f>+'EXHIBIT B'!C30</f>
        <v>236.69</v>
      </c>
      <c r="F21" s="885">
        <f t="shared" si="2"/>
        <v>271483</v>
      </c>
      <c r="G21" s="394"/>
      <c r="H21" s="394"/>
    </row>
    <row r="22" spans="1:10" ht="20.100000000000001" customHeight="1">
      <c r="A22" s="882" t="s">
        <v>231</v>
      </c>
      <c r="B22" s="882" t="s">
        <v>87</v>
      </c>
      <c r="C22" s="883" t="s">
        <v>253</v>
      </c>
      <c r="D22" s="890">
        <f>390-300</f>
        <v>90</v>
      </c>
      <c r="E22" s="884">
        <f>+'EXHIBIT B'!C31</f>
        <v>209.7</v>
      </c>
      <c r="F22" s="885">
        <f t="shared" si="2"/>
        <v>18873</v>
      </c>
      <c r="G22" s="394"/>
      <c r="H22" s="394"/>
    </row>
    <row r="23" spans="1:10" ht="20.100000000000001" customHeight="1">
      <c r="A23" s="882" t="s">
        <v>231</v>
      </c>
      <c r="B23" s="882" t="s">
        <v>142</v>
      </c>
      <c r="C23" s="883" t="s">
        <v>254</v>
      </c>
      <c r="D23" s="890">
        <f>456-200</f>
        <v>256</v>
      </c>
      <c r="E23" s="884">
        <f>+'EXHIBIT B'!C30</f>
        <v>236.69</v>
      </c>
      <c r="F23" s="885">
        <f t="shared" si="2"/>
        <v>60593</v>
      </c>
      <c r="G23" s="394"/>
      <c r="H23" s="394"/>
    </row>
    <row r="24" spans="1:10" ht="20.100000000000001" customHeight="1" thickBot="1">
      <c r="A24" s="751" t="s">
        <v>231</v>
      </c>
      <c r="B24" s="751" t="s">
        <v>143</v>
      </c>
      <c r="C24" s="752">
        <v>40360</v>
      </c>
      <c r="D24" s="1221">
        <v>0</v>
      </c>
      <c r="E24" s="753">
        <f>+'EXHIBIT B'!C30</f>
        <v>236.69</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4044</v>
      </c>
      <c r="E26" s="888"/>
      <c r="F26" s="889">
        <f>SUM(F19:F24)</f>
        <v>963639</v>
      </c>
      <c r="G26" s="398"/>
      <c r="H26" s="398"/>
    </row>
    <row r="27" spans="1:10" ht="20.100000000000001" customHeight="1" thickBot="1">
      <c r="A27" s="399" t="s">
        <v>255</v>
      </c>
      <c r="B27" s="399"/>
      <c r="C27" s="399"/>
      <c r="D27" s="399"/>
      <c r="E27" s="399"/>
      <c r="F27" s="400"/>
      <c r="G27" s="687"/>
      <c r="H27" s="401">
        <f>H17+F26</f>
        <v>20202495</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20202495</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792</v>
      </c>
      <c r="B54" s="1222">
        <v>1069093</v>
      </c>
      <c r="C54" s="1224">
        <v>1</v>
      </c>
      <c r="D54" s="1225"/>
      <c r="E54" s="1224">
        <v>8</v>
      </c>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1069093</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740</v>
      </c>
      <c r="B63" s="1223">
        <v>0</v>
      </c>
      <c r="C63" s="1224"/>
      <c r="D63" s="1225"/>
      <c r="E63" s="1224"/>
      <c r="F63" s="1225"/>
      <c r="I63" s="151"/>
    </row>
    <row r="64" spans="1:10" ht="24.95" customHeight="1">
      <c r="A64" s="897"/>
      <c r="B64" s="890">
        <v>0</v>
      </c>
      <c r="C64" s="1226"/>
      <c r="D64" s="1227"/>
      <c r="E64" s="1226"/>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0</v>
      </c>
      <c r="C69" s="1234"/>
      <c r="D69" s="1235"/>
      <c r="E69" s="1234"/>
      <c r="F69" s="1235"/>
    </row>
    <row r="70" spans="1:9" ht="24.95" customHeight="1" thickBot="1">
      <c r="A70" s="377" t="s">
        <v>281</v>
      </c>
      <c r="B70" s="378">
        <f>+B69+B60</f>
        <v>1069093</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Eastern Florida State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8"/>
  <sheetViews>
    <sheetView showGridLines="0" topLeftCell="A243" zoomScale="70" zoomScaleNormal="70" zoomScaleSheetLayoutView="70" zoomScalePageLayoutView="70" workbookViewId="0">
      <selection activeCell="G272" sqref="G272"/>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Eastern Florida State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781</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3333354</v>
      </c>
      <c r="H12" s="222"/>
    </row>
    <row r="13" spans="1:8" ht="20.100000000000001" customHeight="1">
      <c r="A13" s="629" t="s">
        <v>216</v>
      </c>
      <c r="B13" s="229"/>
      <c r="C13" s="222" t="s">
        <v>140</v>
      </c>
      <c r="D13" s="229"/>
      <c r="E13" s="229"/>
      <c r="F13" s="235" t="s">
        <v>244</v>
      </c>
      <c r="G13" s="234">
        <f>+'EXHIBIT C'!H11+'EXHIBIT C(2)'!E14</f>
        <v>11187238</v>
      </c>
      <c r="H13" s="222"/>
    </row>
    <row r="14" spans="1:8" ht="20.100000000000001" customHeight="1">
      <c r="A14" s="629" t="s">
        <v>216</v>
      </c>
      <c r="B14" s="229"/>
      <c r="C14" s="229" t="s">
        <v>141</v>
      </c>
      <c r="D14" s="229"/>
      <c r="E14" s="229"/>
      <c r="F14" s="235" t="s">
        <v>245</v>
      </c>
      <c r="G14" s="653">
        <f>+'EXHIBIT C'!H12+'EXHIBIT C(2)'!E15</f>
        <v>3780378</v>
      </c>
      <c r="H14" s="222"/>
    </row>
    <row r="15" spans="1:8" ht="20.100000000000001" customHeight="1">
      <c r="A15" s="629" t="s">
        <v>216</v>
      </c>
      <c r="B15" s="229"/>
      <c r="C15" s="236" t="s">
        <v>298</v>
      </c>
      <c r="D15" s="229"/>
      <c r="E15" s="229"/>
      <c r="F15" s="235" t="s">
        <v>246</v>
      </c>
      <c r="G15" s="653">
        <f>+'EXHIBIT C'!H13+'EXHIBIT C(2)'!E16</f>
        <v>605102</v>
      </c>
      <c r="H15" s="222"/>
    </row>
    <row r="16" spans="1:8" ht="20.100000000000001" customHeight="1">
      <c r="A16" s="629" t="s">
        <v>216</v>
      </c>
      <c r="B16" s="229"/>
      <c r="C16" s="236" t="s">
        <v>299</v>
      </c>
      <c r="D16" s="229"/>
      <c r="E16" s="229"/>
      <c r="F16" s="235" t="s">
        <v>247</v>
      </c>
      <c r="G16" s="654">
        <f>+'EXHIBIT C'!H14+'EXHIBIT C(2)'!E17</f>
        <v>332784</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19238856</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46528</v>
      </c>
      <c r="H21" s="666"/>
    </row>
    <row r="22" spans="1:8" ht="20.100000000000001" customHeight="1">
      <c r="A22" s="630" t="s">
        <v>231</v>
      </c>
      <c r="B22" s="229"/>
      <c r="C22" s="222" t="s">
        <v>140</v>
      </c>
      <c r="D22" s="229"/>
      <c r="E22" s="229"/>
      <c r="F22" s="235" t="s">
        <v>251</v>
      </c>
      <c r="G22" s="240">
        <f>+'EXHIBIT C'!F20+'EXHIBIT C(2)'!E23</f>
        <v>566162</v>
      </c>
      <c r="H22" s="222"/>
    </row>
    <row r="23" spans="1:8" ht="20.100000000000001" customHeight="1">
      <c r="A23" s="630" t="s">
        <v>231</v>
      </c>
      <c r="B23" s="229"/>
      <c r="C23" s="229" t="s">
        <v>141</v>
      </c>
      <c r="D23" s="229"/>
      <c r="E23" s="229"/>
      <c r="F23" s="235" t="s">
        <v>252</v>
      </c>
      <c r="G23" s="245">
        <f>+'EXHIBIT C'!F21+'EXHIBIT C(2)'!E24</f>
        <v>271483</v>
      </c>
      <c r="H23" s="222"/>
    </row>
    <row r="24" spans="1:8" ht="20.100000000000001" customHeight="1">
      <c r="A24" s="630" t="s">
        <v>231</v>
      </c>
      <c r="B24" s="229"/>
      <c r="C24" s="236" t="s">
        <v>298</v>
      </c>
      <c r="D24" s="229"/>
      <c r="E24" s="229"/>
      <c r="F24" s="235" t="s">
        <v>253</v>
      </c>
      <c r="G24" s="245">
        <f>+'EXHIBIT C'!F22+'EXHIBIT C(2)'!E25</f>
        <v>18873</v>
      </c>
      <c r="H24" s="222"/>
    </row>
    <row r="25" spans="1:8" ht="20.100000000000001" customHeight="1">
      <c r="A25" s="630" t="s">
        <v>231</v>
      </c>
      <c r="B25" s="229"/>
      <c r="C25" s="236" t="s">
        <v>299</v>
      </c>
      <c r="D25" s="229"/>
      <c r="E25" s="229"/>
      <c r="F25" s="235" t="s">
        <v>254</v>
      </c>
      <c r="G25" s="245">
        <f>+'EXHIBIT C'!F23+'EXHIBIT C(2)'!E26</f>
        <v>60593</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963639</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20202495</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250000</v>
      </c>
      <c r="H47" s="666"/>
    </row>
    <row r="48" spans="1:8" ht="20.100000000000001" customHeight="1">
      <c r="A48" s="629" t="s">
        <v>313</v>
      </c>
      <c r="B48" s="222"/>
      <c r="C48" s="246"/>
      <c r="D48" s="246"/>
      <c r="E48" s="246"/>
      <c r="F48" s="247" t="s">
        <v>314</v>
      </c>
      <c r="G48" s="572">
        <f>270000+15000+15000</f>
        <v>300000</v>
      </c>
      <c r="H48" s="666"/>
    </row>
    <row r="49" spans="1:8" ht="20.100000000000001" customHeight="1">
      <c r="A49" s="629" t="s">
        <v>315</v>
      </c>
      <c r="B49" s="229"/>
      <c r="C49" s="229"/>
      <c r="D49" s="229"/>
      <c r="E49" s="229"/>
      <c r="F49" s="248" t="s">
        <v>316</v>
      </c>
      <c r="G49" s="572">
        <v>160000</v>
      </c>
      <c r="H49" s="222"/>
    </row>
    <row r="50" spans="1:8" ht="20.100000000000001" customHeight="1">
      <c r="A50" s="629" t="s">
        <v>317</v>
      </c>
      <c r="B50" s="229"/>
      <c r="C50" s="229"/>
      <c r="D50" s="229"/>
      <c r="E50" s="229"/>
      <c r="F50" s="248" t="s">
        <v>318</v>
      </c>
      <c r="G50" s="572">
        <f>620000+315000+10000+1305000</f>
        <v>2250000</v>
      </c>
      <c r="H50" s="222"/>
    </row>
    <row r="51" spans="1:8" ht="20.100000000000001" customHeight="1">
      <c r="A51" s="629" t="s">
        <v>319</v>
      </c>
      <c r="B51" s="229"/>
      <c r="C51" s="229"/>
      <c r="D51" s="229"/>
      <c r="E51" s="229"/>
      <c r="F51" s="233">
        <v>40450</v>
      </c>
      <c r="G51" s="572">
        <v>0</v>
      </c>
      <c r="H51" s="222"/>
    </row>
    <row r="52" spans="1:8" ht="20.100000000000001" customHeight="1">
      <c r="A52" s="629" t="s">
        <v>320</v>
      </c>
      <c r="B52" s="229"/>
      <c r="C52" s="229"/>
      <c r="D52" s="229"/>
      <c r="E52" s="229"/>
      <c r="F52" s="248" t="s">
        <v>321</v>
      </c>
      <c r="G52" s="572">
        <v>210000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100000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120000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0</v>
      </c>
      <c r="H58" s="222"/>
    </row>
    <row r="59" spans="1:8" ht="20.100000000000001" customHeight="1">
      <c r="A59" s="630" t="s">
        <v>334</v>
      </c>
      <c r="B59" s="232"/>
      <c r="C59" s="232"/>
      <c r="D59" s="232"/>
      <c r="E59" s="232"/>
      <c r="F59" s="248" t="s">
        <v>335</v>
      </c>
      <c r="G59" s="572">
        <f>540000+330000+18000+2000+110000</f>
        <v>1000000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24592495</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2900000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2900000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37906780</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901945</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7500</v>
      </c>
      <c r="H79" s="222"/>
    </row>
    <row r="80" spans="1:8" ht="20.100000000000001" customHeight="1">
      <c r="A80" s="629" t="s">
        <v>359</v>
      </c>
      <c r="B80" s="229"/>
      <c r="C80" s="229"/>
      <c r="D80" s="229"/>
      <c r="E80" s="229"/>
      <c r="F80" s="235" t="s">
        <v>360</v>
      </c>
      <c r="G80" s="656">
        <v>193350</v>
      </c>
      <c r="H80" s="222"/>
    </row>
    <row r="81" spans="1:10" ht="20.100000000000001" customHeight="1">
      <c r="A81" s="629" t="s">
        <v>361</v>
      </c>
      <c r="B81" s="229"/>
      <c r="C81" s="229"/>
      <c r="D81" s="229"/>
      <c r="E81" s="229"/>
      <c r="F81" s="235" t="s">
        <v>362</v>
      </c>
      <c r="G81" s="655">
        <f>'CHECK SHEET'!D104</f>
        <v>7485794</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50000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46545369</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30000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150000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180000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f>367000+61000</f>
        <v>428000</v>
      </c>
      <c r="H110" s="222"/>
    </row>
    <row r="111" spans="1:8" ht="20.100000000000001" customHeight="1">
      <c r="A111" s="629" t="s">
        <v>390</v>
      </c>
      <c r="B111" s="229"/>
      <c r="C111" s="229"/>
      <c r="D111" s="229"/>
      <c r="E111" s="229"/>
      <c r="F111" s="235" t="s">
        <v>391</v>
      </c>
      <c r="G111" s="573">
        <f>5000+10000+2000+23000+1000+2500+1500</f>
        <v>45000</v>
      </c>
      <c r="H111" s="222"/>
    </row>
    <row r="112" spans="1:8" ht="20.100000000000001" customHeight="1">
      <c r="A112" s="629" t="s">
        <v>392</v>
      </c>
      <c r="B112" s="229"/>
      <c r="C112" s="229"/>
      <c r="D112" s="229"/>
      <c r="E112" s="229"/>
      <c r="F112" s="235" t="s">
        <v>393</v>
      </c>
      <c r="G112" s="573">
        <f>300+40000</f>
        <v>40300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513300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475000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75000</v>
      </c>
      <c r="H125" s="222"/>
    </row>
    <row r="126" spans="1:8" ht="20.100000000000001" customHeight="1">
      <c r="A126" s="629" t="s">
        <v>407</v>
      </c>
      <c r="B126" s="229"/>
      <c r="C126" s="229"/>
      <c r="D126" s="229"/>
      <c r="E126" s="229"/>
      <c r="F126" s="235" t="s">
        <v>408</v>
      </c>
      <c r="G126" s="573">
        <f>46700+90000</f>
        <v>136700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686700</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20000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20000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75437864</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2918443</v>
      </c>
      <c r="H147" s="222"/>
    </row>
    <row r="148" spans="1:8" ht="20.100000000000001" customHeight="1">
      <c r="A148" s="629" t="s">
        <v>429</v>
      </c>
      <c r="B148" s="222"/>
      <c r="C148" s="222"/>
      <c r="D148" s="222"/>
      <c r="E148" s="222"/>
      <c r="F148" s="235" t="s">
        <v>430</v>
      </c>
      <c r="G148" s="577">
        <v>0</v>
      </c>
      <c r="H148" s="222"/>
    </row>
    <row r="149" spans="1:8" ht="20.100000000000001" customHeight="1">
      <c r="A149" s="629" t="s">
        <v>431</v>
      </c>
      <c r="B149" s="222"/>
      <c r="C149" s="222"/>
      <c r="D149" s="222"/>
      <c r="E149" s="222"/>
      <c r="F149" s="235" t="s">
        <v>432</v>
      </c>
      <c r="G149" s="577">
        <v>0</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14729839+556678</f>
        <v>15286517</v>
      </c>
      <c r="H152" s="222"/>
    </row>
    <row r="153" spans="1:8" ht="20.100000000000001" customHeight="1">
      <c r="A153" s="629" t="s">
        <v>439</v>
      </c>
      <c r="B153" s="229"/>
      <c r="C153" s="229"/>
      <c r="D153" s="229"/>
      <c r="E153" s="229"/>
      <c r="F153" s="235" t="s">
        <v>440</v>
      </c>
      <c r="G153" s="577">
        <f>5177403+201175</f>
        <v>5378578</v>
      </c>
      <c r="H153" s="222"/>
    </row>
    <row r="154" spans="1:8" ht="20.100000000000001" customHeight="1">
      <c r="A154" s="629" t="s">
        <v>441</v>
      </c>
      <c r="B154" s="229"/>
      <c r="C154" s="229"/>
      <c r="D154" s="229"/>
      <c r="E154" s="229"/>
      <c r="F154" s="235" t="s">
        <v>442</v>
      </c>
      <c r="G154" s="577">
        <v>22000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7750900</v>
      </c>
      <c r="H162" s="222"/>
    </row>
    <row r="163" spans="1:8" ht="20.100000000000001" customHeight="1">
      <c r="A163" s="629" t="s">
        <v>458</v>
      </c>
      <c r="B163" s="229"/>
      <c r="C163" s="229"/>
      <c r="D163" s="229"/>
      <c r="E163" s="229"/>
      <c r="F163" s="235" t="s">
        <v>459</v>
      </c>
      <c r="G163" s="577">
        <v>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115182</v>
      </c>
      <c r="H165" s="222"/>
    </row>
    <row r="166" spans="1:8" ht="20.100000000000001" customHeight="1">
      <c r="A166" s="629" t="s">
        <v>464</v>
      </c>
      <c r="B166" s="229"/>
      <c r="C166" s="229"/>
      <c r="D166" s="229"/>
      <c r="E166" s="229"/>
      <c r="F166" s="235" t="s">
        <v>465</v>
      </c>
      <c r="G166" s="577">
        <v>87672</v>
      </c>
      <c r="H166" s="222"/>
    </row>
    <row r="167" spans="1:8" ht="20.100000000000001" customHeight="1">
      <c r="A167" s="629" t="s">
        <v>466</v>
      </c>
      <c r="B167" s="229"/>
      <c r="C167" s="229"/>
      <c r="D167" s="229"/>
      <c r="E167" s="229"/>
      <c r="F167" s="235" t="s">
        <v>467</v>
      </c>
      <c r="G167" s="577">
        <f>6715769+1771956</f>
        <v>8487725</v>
      </c>
      <c r="H167" s="222"/>
    </row>
    <row r="168" spans="1:8" ht="20.100000000000001" customHeight="1">
      <c r="A168" s="629" t="s">
        <v>468</v>
      </c>
      <c r="B168" s="229"/>
      <c r="C168" s="229"/>
      <c r="D168" s="229"/>
      <c r="E168" s="229"/>
      <c r="F168" s="235" t="s">
        <v>469</v>
      </c>
      <c r="G168" s="577">
        <v>5200</v>
      </c>
      <c r="H168" s="222"/>
    </row>
    <row r="169" spans="1:8" ht="20.100000000000001" customHeight="1">
      <c r="A169" s="629" t="s">
        <v>470</v>
      </c>
      <c r="B169" s="229"/>
      <c r="C169" s="229"/>
      <c r="D169" s="229"/>
      <c r="E169" s="229"/>
      <c r="F169" s="235" t="s">
        <v>471</v>
      </c>
      <c r="G169" s="577">
        <f>537812+354994</f>
        <v>892806</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1148107</v>
      </c>
      <c r="H171" s="222"/>
    </row>
    <row r="172" spans="1:8" ht="20.100000000000001" customHeight="1">
      <c r="A172" s="629" t="s">
        <v>476</v>
      </c>
      <c r="B172" s="229"/>
      <c r="C172" s="229"/>
      <c r="D172" s="229"/>
      <c r="E172" s="229"/>
      <c r="F172" s="238">
        <v>56001</v>
      </c>
      <c r="G172" s="577">
        <v>3166330</v>
      </c>
      <c r="H172" s="222"/>
    </row>
    <row r="173" spans="1:8" ht="20.100000000000001" customHeight="1">
      <c r="A173" s="629" t="s">
        <v>477</v>
      </c>
      <c r="B173" s="229"/>
      <c r="C173" s="229"/>
      <c r="D173" s="229"/>
      <c r="E173" s="229"/>
      <c r="F173" s="238">
        <v>56002</v>
      </c>
      <c r="G173" s="577">
        <v>23000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7946</v>
      </c>
      <c r="H176" s="222"/>
    </row>
    <row r="177" spans="1:8" ht="20.100000000000001" customHeight="1">
      <c r="A177" s="638" t="s">
        <v>483</v>
      </c>
      <c r="B177" s="222"/>
      <c r="C177" s="222"/>
      <c r="D177" s="222"/>
      <c r="E177" s="222"/>
      <c r="F177" s="256" t="s">
        <v>484</v>
      </c>
      <c r="G177" s="577">
        <v>83809</v>
      </c>
      <c r="H177" s="222"/>
    </row>
    <row r="178" spans="1:8" ht="20.100000000000001" customHeight="1">
      <c r="A178" s="629" t="s">
        <v>485</v>
      </c>
      <c r="B178" s="229"/>
      <c r="C178" s="229"/>
      <c r="D178" s="229"/>
      <c r="E178" s="229"/>
      <c r="F178" s="235" t="s">
        <v>486</v>
      </c>
      <c r="G178" s="577">
        <f>599619+116406</f>
        <v>716025</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120000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2519770+662849</f>
        <v>3182619</v>
      </c>
      <c r="H185" s="222"/>
    </row>
    <row r="186" spans="1:8" ht="20.100000000000001" customHeight="1">
      <c r="A186" s="629" t="s">
        <v>501</v>
      </c>
      <c r="B186" s="229"/>
      <c r="C186" s="229"/>
      <c r="D186" s="229"/>
      <c r="E186" s="229"/>
      <c r="F186" s="235" t="s">
        <v>502</v>
      </c>
      <c r="G186" s="577">
        <v>4863325</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365239</v>
      </c>
      <c r="H188" s="222"/>
    </row>
    <row r="189" spans="1:8" ht="20.100000000000001" customHeight="1">
      <c r="A189" s="629" t="s">
        <v>507</v>
      </c>
      <c r="B189" s="229"/>
      <c r="C189" s="229"/>
      <c r="D189" s="229"/>
      <c r="E189" s="229"/>
      <c r="F189" s="235" t="s">
        <v>508</v>
      </c>
      <c r="G189" s="577">
        <f>2475+106675+144613+11700+200000</f>
        <v>465463</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f>5813521+96864+169870+900</f>
        <v>6081155</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61168041</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f>89575+3510+155+5375+949+429+7</f>
        <v>100000</v>
      </c>
      <c r="H199" s="222"/>
    </row>
    <row r="200" spans="1:8" ht="20.100000000000001" customHeight="1">
      <c r="A200" s="629" t="s">
        <v>520</v>
      </c>
      <c r="B200" s="229"/>
      <c r="C200" s="229"/>
      <c r="D200" s="229"/>
      <c r="E200" s="229"/>
      <c r="F200" s="235" t="s">
        <v>521</v>
      </c>
      <c r="G200" s="577">
        <v>97000</v>
      </c>
      <c r="H200" s="222"/>
    </row>
    <row r="201" spans="1:8" ht="20.100000000000001" customHeight="1">
      <c r="A201" s="629" t="s">
        <v>522</v>
      </c>
      <c r="B201" s="229"/>
      <c r="C201" s="229"/>
      <c r="D201" s="229"/>
      <c r="E201" s="229"/>
      <c r="F201" s="235" t="s">
        <v>523</v>
      </c>
      <c r="G201" s="577">
        <f>210425+8496+33079</f>
        <v>252000</v>
      </c>
      <c r="H201" s="222"/>
    </row>
    <row r="202" spans="1:8" ht="20.100000000000001" customHeight="1">
      <c r="A202" s="629" t="s">
        <v>524</v>
      </c>
      <c r="B202" s="229"/>
      <c r="C202" s="229"/>
      <c r="D202" s="229"/>
      <c r="E202" s="229"/>
      <c r="F202" s="235" t="s">
        <v>525</v>
      </c>
      <c r="G202" s="577">
        <f>6081+5911+55155</f>
        <v>67147</v>
      </c>
      <c r="H202" s="222"/>
    </row>
    <row r="203" spans="1:8" ht="20.100000000000001" customHeight="1">
      <c r="A203" s="629" t="s">
        <v>526</v>
      </c>
      <c r="B203" s="229"/>
      <c r="C203" s="229"/>
      <c r="D203" s="229"/>
      <c r="E203" s="229"/>
      <c r="F203" s="235" t="s">
        <v>527</v>
      </c>
      <c r="G203" s="577">
        <f>83740+133267+18708+1362984+49154</f>
        <v>1647853</v>
      </c>
      <c r="H203" s="222"/>
    </row>
    <row r="204" spans="1:8" ht="20.100000000000001" customHeight="1">
      <c r="A204" s="629" t="s">
        <v>528</v>
      </c>
      <c r="B204" s="229"/>
      <c r="C204" s="229"/>
      <c r="D204" s="229"/>
      <c r="E204" s="229"/>
      <c r="F204" s="235" t="s">
        <v>529</v>
      </c>
      <c r="G204" s="577">
        <f>2000+38588+1102+12235+9575</f>
        <v>63500</v>
      </c>
      <c r="H204" s="222"/>
    </row>
    <row r="205" spans="1:8" ht="20.100000000000001" customHeight="1">
      <c r="A205" s="629" t="s">
        <v>530</v>
      </c>
      <c r="B205" s="229"/>
      <c r="C205" s="229"/>
      <c r="D205" s="229"/>
      <c r="E205" s="229"/>
      <c r="F205" s="235" t="s">
        <v>531</v>
      </c>
      <c r="G205" s="577">
        <f>2067566+180155+1779</f>
        <v>2249500</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85000</v>
      </c>
      <c r="H207" s="222"/>
    </row>
    <row r="208" spans="1:8" ht="20.100000000000001" customHeight="1">
      <c r="A208" s="629" t="s">
        <v>536</v>
      </c>
      <c r="B208" s="229"/>
      <c r="C208" s="229"/>
      <c r="D208" s="229"/>
      <c r="E208" s="229"/>
      <c r="F208" s="235" t="s">
        <v>537</v>
      </c>
      <c r="G208" s="577">
        <v>500000</v>
      </c>
      <c r="H208" s="222"/>
    </row>
    <row r="209" spans="1:8" ht="20.100000000000001" customHeight="1">
      <c r="A209" s="629" t="s">
        <v>538</v>
      </c>
      <c r="B209" s="229"/>
      <c r="C209" s="229"/>
      <c r="D209" s="229"/>
      <c r="E209" s="229"/>
      <c r="F209" s="235" t="s">
        <v>539</v>
      </c>
      <c r="G209" s="577">
        <v>1900000</v>
      </c>
      <c r="H209" s="222"/>
    </row>
    <row r="210" spans="1:8" ht="20.100000000000001" customHeight="1">
      <c r="A210" s="629" t="s">
        <v>540</v>
      </c>
      <c r="B210" s="229"/>
      <c r="C210" s="229"/>
      <c r="D210" s="229"/>
      <c r="E210" s="229"/>
      <c r="F210" s="235" t="s">
        <v>541</v>
      </c>
      <c r="G210" s="577">
        <v>120000</v>
      </c>
      <c r="H210" s="222"/>
    </row>
    <row r="211" spans="1:8" ht="20.100000000000001" customHeight="1">
      <c r="A211" s="629" t="s">
        <v>542</v>
      </c>
      <c r="B211" s="229"/>
      <c r="C211" s="229"/>
      <c r="D211" s="229"/>
      <c r="E211" s="229"/>
      <c r="F211" s="235" t="s">
        <v>543</v>
      </c>
      <c r="G211" s="577">
        <v>100000</v>
      </c>
      <c r="H211" s="222"/>
    </row>
    <row r="212" spans="1:8" ht="20.100000000000001" customHeight="1">
      <c r="A212" s="629" t="s">
        <v>544</v>
      </c>
      <c r="B212" s="222"/>
      <c r="C212" s="222"/>
      <c r="D212" s="222"/>
      <c r="E212" s="222"/>
      <c r="F212" s="235" t="s">
        <v>545</v>
      </c>
      <c r="G212" s="577">
        <v>90000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f>59793+130833+2953+93870+3497403+172369+159229+8550</f>
        <v>4125000</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f>168+92860+6544+42511+29976+97941</f>
        <v>270000</v>
      </c>
      <c r="H217" s="222"/>
    </row>
    <row r="218" spans="1:8" ht="20.100000000000001" customHeight="1">
      <c r="A218" s="629" t="s">
        <v>554</v>
      </c>
      <c r="B218" s="229"/>
      <c r="C218" s="229"/>
      <c r="D218" s="229"/>
      <c r="E218" s="229"/>
      <c r="F218" s="235" t="s">
        <v>555</v>
      </c>
      <c r="G218" s="577">
        <f>667399+156164+26437</f>
        <v>850000</v>
      </c>
      <c r="H218" s="222"/>
    </row>
    <row r="219" spans="1:8" ht="20.100000000000001" customHeight="1">
      <c r="A219" s="629" t="s">
        <v>556</v>
      </c>
      <c r="B219" s="222"/>
      <c r="C219" s="222"/>
      <c r="D219" s="222"/>
      <c r="E219" s="222"/>
      <c r="F219" s="256" t="s">
        <v>557</v>
      </c>
      <c r="G219" s="577">
        <f>54250+809250</f>
        <v>863500</v>
      </c>
      <c r="H219" s="222"/>
    </row>
    <row r="220" spans="1:8" ht="20.100000000000001" customHeight="1">
      <c r="A220" s="629" t="s">
        <v>558</v>
      </c>
      <c r="B220" s="229"/>
      <c r="C220" s="229"/>
      <c r="D220" s="229"/>
      <c r="E220" s="229"/>
      <c r="F220" s="235" t="s">
        <v>559</v>
      </c>
      <c r="G220" s="577">
        <f>70796+161762+17733+18793+391+525</f>
        <v>270000</v>
      </c>
      <c r="H220" s="222"/>
    </row>
    <row r="221" spans="1:8" ht="20.100000000000001" customHeight="1">
      <c r="A221" s="629" t="s">
        <v>560</v>
      </c>
      <c r="B221" s="229"/>
      <c r="C221" s="229"/>
      <c r="D221" s="229"/>
      <c r="E221" s="229"/>
      <c r="F221" s="235" t="s">
        <v>561</v>
      </c>
      <c r="G221" s="577">
        <f>24+3374+96461+40141</f>
        <v>140000</v>
      </c>
      <c r="H221" s="222"/>
    </row>
    <row r="222" spans="1:8" ht="20.100000000000001" customHeight="1">
      <c r="A222" s="630" t="s">
        <v>562</v>
      </c>
      <c r="B222" s="232"/>
      <c r="C222" s="232"/>
      <c r="D222" s="232"/>
      <c r="E222" s="232"/>
      <c r="F222" s="248" t="s">
        <v>563</v>
      </c>
      <c r="G222" s="577">
        <f>3874+33203+1600+24204+815+76352+164952</f>
        <v>305000</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52000</v>
      </c>
      <c r="H230" s="222"/>
    </row>
    <row r="231" spans="1:9" ht="20.100000000000001" customHeight="1">
      <c r="A231" s="643" t="s">
        <v>580</v>
      </c>
      <c r="B231" s="266"/>
      <c r="C231" s="266"/>
      <c r="D231" s="267"/>
      <c r="E231" s="266"/>
      <c r="F231" s="268" t="s">
        <v>581</v>
      </c>
      <c r="G231" s="577">
        <v>1017093</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f>4423+560577</f>
        <v>565000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15729593</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0</v>
      </c>
      <c r="H243" s="222"/>
    </row>
    <row r="244" spans="1:10" ht="20.100000000000001" customHeight="1">
      <c r="A244" s="629" t="s">
        <v>596</v>
      </c>
      <c r="B244" s="229"/>
      <c r="C244" s="229"/>
      <c r="D244" s="229"/>
      <c r="E244" s="229"/>
      <c r="F244" s="235" t="s">
        <v>597</v>
      </c>
      <c r="G244" s="577">
        <v>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790</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100000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100000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76997634</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5072803</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5072803</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-45671984</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-40599181</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TEMP</cp:lastModifiedBy>
  <cp:revision/>
  <cp:lastPrinted>2021-06-30T15:35:48Z</cp:lastPrinted>
  <dcterms:created xsi:type="dcterms:W3CDTF">2005-03-22T15:46:43Z</dcterms:created>
  <dcterms:modified xsi:type="dcterms:W3CDTF">2021-06-30T19:37:12Z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