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8" l="1"/>
  <c r="B10" i="8"/>
  <c r="G191" i="7"/>
  <c r="G234" i="7"/>
  <c r="D129" i="15" l="1"/>
  <c r="D128" i="15" l="1"/>
  <c r="D126" i="15" l="1"/>
  <c r="G121" i="7" l="1"/>
  <c r="G124" i="7"/>
  <c r="G131" i="7"/>
  <c r="G110" i="7"/>
  <c r="G92" i="7"/>
  <c r="G83" i="7"/>
  <c r="G69" i="7"/>
  <c r="G59" i="7"/>
  <c r="G108" i="7"/>
  <c r="G240" i="7"/>
  <c r="G232" i="7"/>
  <c r="G221" i="7"/>
  <c r="G212" i="7"/>
  <c r="G190" i="7" l="1"/>
  <c r="G189" i="7"/>
  <c r="G185" i="7"/>
  <c r="G184" i="7"/>
  <c r="G183" i="7"/>
  <c r="G170" i="7"/>
  <c r="G160" i="7"/>
  <c r="G150" i="7"/>
  <c r="G47" i="7"/>
  <c r="G132" i="7"/>
  <c r="G109" i="7"/>
  <c r="G52" i="7"/>
  <c r="G50" i="7"/>
  <c r="B63" i="6" l="1"/>
  <c r="B64" i="6"/>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E67" i="22" s="1"/>
  <c r="D65" i="22"/>
  <c r="D67" i="22" s="1"/>
  <c r="D59" i="22"/>
  <c r="D62" i="22" s="1"/>
  <c r="B52" i="22"/>
  <c r="E33" i="22"/>
  <c r="E34" i="22" s="1"/>
  <c r="D33" i="22"/>
  <c r="D34" i="22" s="1"/>
  <c r="D26" i="22"/>
  <c r="D38" i="22"/>
  <c r="C38" i="22"/>
  <c r="E15" i="22"/>
  <c r="D15" i="22"/>
  <c r="B46" i="22"/>
  <c r="E26" i="22"/>
  <c r="E59" i="22"/>
  <c r="E60" i="22" s="1"/>
  <c r="E38" i="22"/>
  <c r="F10" i="6"/>
  <c r="B29" i="5"/>
  <c r="G14" i="5"/>
  <c r="H14" i="5" s="1"/>
  <c r="G251" i="7"/>
  <c r="E15" i="8"/>
  <c r="E36" i="6"/>
  <c r="D36" i="6"/>
  <c r="D43" i="6"/>
  <c r="D26" i="6"/>
  <c r="D17" i="6"/>
  <c r="E17" i="6"/>
  <c r="F32" i="6"/>
  <c r="F35" i="6"/>
  <c r="F34" i="6"/>
  <c r="F33" i="6"/>
  <c r="G35" i="6"/>
  <c r="H35" i="6" s="1"/>
  <c r="G33" i="7" s="1"/>
  <c r="G34" i="6"/>
  <c r="G33" i="6"/>
  <c r="G32" i="6"/>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E45" i="3" s="1"/>
  <c r="F12" i="6"/>
  <c r="E46" i="3" s="1"/>
  <c r="F14" i="6"/>
  <c r="E48" i="3" s="1"/>
  <c r="F15" i="6"/>
  <c r="E49" i="3"/>
  <c r="F13" i="6"/>
  <c r="E47" i="3" s="1"/>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6" i="22"/>
  <c r="E44" i="3"/>
  <c r="E14" i="8"/>
  <c r="G236" i="7"/>
  <c r="X141" i="23"/>
  <c r="H30" i="5" l="1"/>
  <c r="I30" i="5" s="1"/>
  <c r="E137" i="15"/>
  <c r="F102" i="15"/>
  <c r="F57" i="15"/>
  <c r="E61" i="22"/>
  <c r="H34" i="6"/>
  <c r="G32" i="7" s="1"/>
  <c r="H29" i="5"/>
  <c r="I29" i="5" s="1"/>
  <c r="H32" i="6"/>
  <c r="G30" i="7" s="1"/>
  <c r="F117" i="15"/>
  <c r="E42" i="6"/>
  <c r="F42" i="6" s="1"/>
  <c r="G40" i="7" s="1"/>
  <c r="E70" i="22"/>
  <c r="D66" i="22"/>
  <c r="D69" i="22" s="1"/>
  <c r="H12" i="6"/>
  <c r="G14" i="7" s="1"/>
  <c r="H33" i="6"/>
  <c r="G31" i="7" s="1"/>
  <c r="C121" i="3"/>
  <c r="C112" i="3"/>
  <c r="C111" i="3"/>
  <c r="D106" i="3"/>
  <c r="C95" i="3"/>
  <c r="B70" i="6"/>
  <c r="C92" i="3"/>
  <c r="H13" i="6"/>
  <c r="G15" i="7" s="1"/>
  <c r="H11" i="6"/>
  <c r="G13" i="7" s="1"/>
  <c r="F26" i="6"/>
  <c r="E40" i="6"/>
  <c r="F40" i="6" s="1"/>
  <c r="G38" i="7" s="1"/>
  <c r="D61" i="22"/>
  <c r="F36" i="6"/>
  <c r="H14" i="6"/>
  <c r="G16" i="7" s="1"/>
  <c r="H10" i="6"/>
  <c r="D124" i="15" s="1"/>
  <c r="F124" i="15" s="1"/>
  <c r="H37" i="5"/>
  <c r="I37" i="5" s="1"/>
  <c r="E74" i="3"/>
  <c r="E68" i="22"/>
  <c r="E62" i="22"/>
  <c r="E21" i="8"/>
  <c r="E69" i="22"/>
  <c r="H15" i="6"/>
  <c r="G17" i="7" s="1"/>
  <c r="F17" i="6"/>
  <c r="E50" i="3" s="1"/>
  <c r="E30" i="12"/>
  <c r="C113" i="3"/>
  <c r="D119" i="15"/>
  <c r="F119" i="15" s="1"/>
  <c r="G37" i="7"/>
  <c r="D70" i="22"/>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G42" i="7" l="1"/>
  <c r="F43" i="6"/>
  <c r="G35" i="7"/>
  <c r="H36" i="6"/>
  <c r="H44" i="6" s="1"/>
  <c r="C137" i="3"/>
  <c r="C144" i="3"/>
  <c r="D135" i="15"/>
  <c r="D137" i="15" s="1"/>
  <c r="G12" i="7"/>
  <c r="G19" i="7" s="1"/>
  <c r="G44" i="7" s="1"/>
  <c r="G63" i="7" s="1"/>
  <c r="H17" i="6"/>
  <c r="H27" i="6" s="1"/>
  <c r="C139" i="3"/>
  <c r="C147" i="3"/>
  <c r="F125" i="15"/>
  <c r="F135" i="15" s="1"/>
  <c r="F137" i="15" s="1"/>
  <c r="C114" i="3"/>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D32" i="4" s="1"/>
  <c r="E35" i="4" s="1"/>
  <c r="E38" i="4"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<sst xmlns="http://schemas.openxmlformats.org/spreadsheetml/2006/main" count="1314" uniqueCount="795">
  <si>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</si>
  <si>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</si>
  <si>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</si>
  <si>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</si>
  <si>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</si>
  <si>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</si>
  <si>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</si>
  <si>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</si>
  <si>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</si>
  <si>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</si>
  <si>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</si>
  <si>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</si>
  <si>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</si>
  <si>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</si>
  <si>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</si>
  <si>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</si>
  <si>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</si>
  <si>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</si>
  <si>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</si>
  <si>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</si>
  <si>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</si>
  <si>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</si>
  <si>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</si>
  <si>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</si>
  <si>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</si>
  <si>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</si>
  <si>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</si>
  <si>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</si>
  <si>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</si>
  <si>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</si>
  <si>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</si>
  <si>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</si>
  <si>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</si>
  <si>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</si>
  <si>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</si>
  <si>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</si>
  <si>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</si>
  <si>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</si>
  <si>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</si>
  <si>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</si>
  <si>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</si>
  <si>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</si>
  <si>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</si>
  <si>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</si>
  <si>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</si>
  <si>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</si>
  <si>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</si>
  <si>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</si>
  <si>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</si>
  <si>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</si>
  <si>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</si>
  <si>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</si>
  <si>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</si>
  <si>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</si>
  <si>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</si>
  <si>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</si>
  <si>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</si>
  <si>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</si>
  <si>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</si>
  <si>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</si>
  <si>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</si>
  <si>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</si>
  <si>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</si>
  <si>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</si>
  <si>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</si>
  <si>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</si>
  <si>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</si>
  <si>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</si>
  <si>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</si>
  <si>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</si>
  <si>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</si>
  <si>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</si>
  <si>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</si>
  <si>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</si>
  <si>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</si>
  <si>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</si>
  <si>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</si>
  <si>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</si>
  <si>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</si>
  <si>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</si>
  <si>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</si>
  <si>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</si>
  <si>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</si>
  <si>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</si>
  <si>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</si>
  <si>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</si>
  <si>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</si>
  <si>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</si>
  <si>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</si>
  <si>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</si>
  <si>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</si>
  <si>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</si>
  <si>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</si>
  <si>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</si>
  <si>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</si>
  <si>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</si>
  <si>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</si>
  <si>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</si>
  <si>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</si>
  <si>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</si>
  <si>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</si>
  <si>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</si>
  <si>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</si>
  <si>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</si>
  <si>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</si>
  <si>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</si>
  <si>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</si>
  <si>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</si>
  <si>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</si>
  <si>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</si>
  <si>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</si>
  <si>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</si>
  <si>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</si>
  <si>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</si>
  <si>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</si>
  <si>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</si>
  <si>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</si>
  <si>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</si>
  <si>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</si>
  <si>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</si>
  <si>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</si>
  <si>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</si>
  <si>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</si>
  <si>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</si>
  <si>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</si>
  <si>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</si>
  <si>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</si>
  <si>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</si>
  <si>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</si>
  <si>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</si>
  <si>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</si>
  <si>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</si>
  <si>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</si>
  <si>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</si>
  <si>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</si>
  <si>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</si>
  <si>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</si>
  <si>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</si>
  <si>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</si>
  <si>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</si>
  <si>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</si>
  <si>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</si>
  <si>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</si>
  <si>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</si>
  <si>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</si>
  <si>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</si>
  <si>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</si>
  <si>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</si>
  <si>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</si>
  <si>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</si>
  <si>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</si>
  <si>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</si>
  <si>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</si>
  <si>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</si>
  <si>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</si>
  <si>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</si>
  <si>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</si>
  <si>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</si>
  <si>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</si>
  <si>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</si>
  <si>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</si>
  <si>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</si>
  <si>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</si>
  <si>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</si>
  <si>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</si>
  <si>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</si>
  <si>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</si>
  <si>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</si>
  <si>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</si>
  <si>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</si>
  <si>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</si>
  <si>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</si>
  <si>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</si>
  <si>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</si>
  <si>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</si>
  <si>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</si>
  <si>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</si>
  <si>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</si>
  <si>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</si>
  <si>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</si>
  <si>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</si>
  <si>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</si>
  <si>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</si>
  <si>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</si>
  <si>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</si>
  <si>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</si>
  <si>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</si>
  <si>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</si>
  <si>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</si>
  <si>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</si>
  <si>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</si>
  <si>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</si>
  <si>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</si>
  <si>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</si>
  <si>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</si>
  <si>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</si>
  <si>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</si>
  <si>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</si>
  <si>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</si>
  <si>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</si>
  <si>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</si>
  <si>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</si>
  <si>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</si>
  <si>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</si>
  <si>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</si>
  <si>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</si>
  <si>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</si>
  <si>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</si>
  <si>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</si>
  <si>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</si>
  <si>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</si>
  <si>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</si>
  <si>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</si>
  <si>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</si>
  <si>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</si>
  <si>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</si>
  <si>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</si>
  <si>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</si>
  <si>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</si>
  <si>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</si>
  <si>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</si>
  <si>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</si>
  <si>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</si>
  <si>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</si>
  <si>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</si>
  <si>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</si>
  <si>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</si>
  <si>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</si>
  <si>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</si>
  <si>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</si>
  <si>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</si>
  <si>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</si>
  <si>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</si>
  <si>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</si>
  <si>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</si>
  <si>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</si>
  <si>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</si>
  <si>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</si>
  <si>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</si>
  <si>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</si>
  <si>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</si>
  <si>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</si>
  <si>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</si>
  <si>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</si>
  <si>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</si>
  <si>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</si>
  <si>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</si>
  <si>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</si>
  <si>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</si>
  <si>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</si>
  <si>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</si>
  <si>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</si>
  <si>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</si>
  <si>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</si>
  <si>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</si>
  <si>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</si>
  <si>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</si>
  <si>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</si>
  <si>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</si>
  <si>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</si>
  <si>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</si>
  <si>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</si>
  <si>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</si>
  <si>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</si>
  <si>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</si>
  <si>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</si>
  <si>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</si>
  <si>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</si>
  <si>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</si>
  <si>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</si>
  <si>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</si>
  <si>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</si>
  <si>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</si>
  <si>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</si>
  <si>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</si>
  <si>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</si>
  <si>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</si>
  <si>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</si>
  <si>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</si>
  <si>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</si>
  <si>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</si>
  <si>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</si>
  <si>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</si>
  <si>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</si>
  <si>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</si>
  <si>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</si>
  <si>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</si>
  <si>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</si>
  <si>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</si>
  <si>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</si>
  <si>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</si>
  <si>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</si>
  <si>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</si>
  <si>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</si>
  <si>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</si>
  <si>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</si>
  <si>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</si>
  <si>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</si>
  <si>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</si>
  <si>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</si>
  <si>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</si>
  <si>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</si>
  <si>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</si>
  <si>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</si>
  <si>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</si>
  <si>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</si>
  <si>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</si>
  <si>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</si>
  <si>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</si>
  <si>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</si>
  <si>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</si>
  <si>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</si>
  <si>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</si>
  <si>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</si>
  <si>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</si>
  <si>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</si>
  <si>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</si>
  <si>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</si>
  <si>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</si>
  <si>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</si>
  <si>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</si>
  <si>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</si>
  <si>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</si>
  <si>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</si>
  <si>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</si>
  <si>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</si>
  <si>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</si>
  <si>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</si>
  <si>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</si>
  <si>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</si>
  <si>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</si>
  <si>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</si>
  <si>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</si>
  <si>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</si>
  <si>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</si>
  <si>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</si>
  <si>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</si>
  <si>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</si>
  <si>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</si>
  <si>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</si>
  <si>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</si>
  <si>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</si>
  <si>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</si>
  <si>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</si>
  <si>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</si>
  <si>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</si>
  <si>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</si>
  <si>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</si>
  <si>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</si>
  <si>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</si>
  <si>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</si>
  <si>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</si>
  <si>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</si>
  <si>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</si>
  <si>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</si>
  <si>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</si>
  <si>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</si>
  <si>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</si>
  <si>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</si>
  <si>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</si>
  <si>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</si>
  <si>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</si>
  <si>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</si>
  <si>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</si>
  <si>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</si>
  <si>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</si>
  <si>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</si>
  <si>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</si>
  <si>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</si>
  <si>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</si>
  <si>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</si>
  <si>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</si>
  <si>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</si>
  <si>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</si>
  <si>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</si>
  <si>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</si>
  <si>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</si>
  <si>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</si>
  <si>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</si>
  <si>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</si>
  <si>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</si>
  <si>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</si>
  <si>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</si>
  <si>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</si>
  <si>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</si>
  <si>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</si>
  <si>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</si>
  <si>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</si>
  <si>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</si>
  <si>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</si>
  <si>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</si>
  <si>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</si>
  <si>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</si>
  <si>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</si>
  <si>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</si>
  <si>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</si>
  <si>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</si>
  <si>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</si>
  <si>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</si>
  <si>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</si>
  <si>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</si>
  <si>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</si>
  <si>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</si>
  <si>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</si>
  <si>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</si>
  <si>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</si>
  <si>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</si>
  <si>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</si>
  <si>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</si>
  <si>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</si>
  <si>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</si>
  <si>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</si>
  <si>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</si>
  <si>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</si>
  <si>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</si>
  <si>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</si>
  <si>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</si>
  <si>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</si>
  <si>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</si>
  <si>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</si>
  <si>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</si>
  <si>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</si>
  <si>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</si>
  <si>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</si>
  <si>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</si>
  <si>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</si>
  <si>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</si>
  <si>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</si>
  <si>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</si>
  <si>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</si>
  <si>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</si>
  <si>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</si>
  <si>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</si>
  <si>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</si>
  <si>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</si>
  <si>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</si>
  <si>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</si>
  <si>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</si>
  <si>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</si>
  <si>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</si>
  <si>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</si>
  <si>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</si>
  <si>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</si>
  <si>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</si>
  <si>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</si>
  <si>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</si>
  <si>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</si>
  <si>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</si>
  <si>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</si>
  <si>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</si>
  <si>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</si>
  <si>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</si>
  <si>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</si>
  <si>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</si>
  <si>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</si>
  <si>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</si>
  <si>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</si>
  <si>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</si>
  <si>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</si>
  <si>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</si>
  <si>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</si>
  <si>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</si>
  <si>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</si>
  <si>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</si>
  <si>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</si>
  <si>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</si>
  <si>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</si>
  <si>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</si>
  <si>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</si>
  <si>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</si>
  <si>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</si>
  <si>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</si>
  <si>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</si>
  <si>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</si>
  <si>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</si>
  <si>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</si>
  <si>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</si>
  <si>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</si>
  <si>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</si>
  <si>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</si>
  <si>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</si>
  <si>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</si>
  <si>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</si>
  <si>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</si>
  <si>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</si>
  <si>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</si>
  <si>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</si>
  <si>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</si>
  <si>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</si>
  <si>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</si>
  <si>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</si>
  <si>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</si>
  <si>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</si>
  <si>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</si>
  <si>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</si>
  <si>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</si>
  <si>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</si>
  <si>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</si>
  <si>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</si>
  <si>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</si>
  <si>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</si>
  <si>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</si>
  <si>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</si>
  <si>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</si>
  <si>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</si>
  <si>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</si>
  <si>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</si>
  <si>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</si>
  <si>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</si>
  <si>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</si>
  <si>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</si>
  <si>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</si>
  <si>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</si>
  <si>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</si>
  <si>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</si>
  <si>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</si>
  <si>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</si>
  <si>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</si>
  <si>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</si>
  <si>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</si>
  <si>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</si>
  <si>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</si>
  <si>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</si>
  <si>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</si>
  <si>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</si>
  <si>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</si>
  <si>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</si>
  <si>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</si>
  <si>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</si>
  <si>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</si>
  <si>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</si>
  <si>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</si>
  <si>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</si>
  <si>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</si>
  <si>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</si>
  <si>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</si>
  <si>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</si>
  <si>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</si>
  <si>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</si>
  <si>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</si>
  <si>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</si>
  <si>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</si>
  <si>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</si>
  <si>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</si>
  <si>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</si>
  <si>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</si>
  <si>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</si>
  <si>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</si>
  <si>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</si>
  <si>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</si>
  <si>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</si>
  <si>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</si>
  <si>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</si>
  <si>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</si>
  <si>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</si>
  <si>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</si>
  <si>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</si>
  <si>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</si>
  <si>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</si>
  <si>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</si>
  <si>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</si>
  <si>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</si>
  <si>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</si>
  <si>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</si>
  <si>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</si>
  <si>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</si>
  <si>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</si>
  <si>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</si>
  <si>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</si>
  <si>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</si>
  <si>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</si>
  <si>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</si>
  <si>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</si>
  <si>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</si>
  <si>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</si>
  <si>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</si>
  <si>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</si>
  <si>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</si>
  <si>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</si>
  <si>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</si>
  <si>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</si>
  <si>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</si>
  <si>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</si>
  <si>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</si>
  <si>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</si>
  <si>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</si>
  <si>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</si>
  <si>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</si>
  <si>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</si>
  <si>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</si>
  <si>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</si>
  <si>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</si>
  <si>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</si>
  <si>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</si>
  <si>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</si>
  <si>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</si>
  <si>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</si>
  <si>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</si>
  <si>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</si>
  <si>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</si>
  <si>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</si>
  <si>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</si>
  <si>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</si>
  <si>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</si>
  <si>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</si>
  <si>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</si>
  <si>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</si>
  <si>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</si>
  <si>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</si>
  <si>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</si>
  <si>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</si>
  <si>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</si>
  <si>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</si>
  <si>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</si>
  <si>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</si>
  <si>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</si>
  <si>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</si>
  <si>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</si>
  <si>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</si>
  <si>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</si>
  <si>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</si>
  <si>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</si>
  <si>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</si>
  <si>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</si>
  <si>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</si>
  <si>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</si>
  <si>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</si>
  <si>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</si>
  <si>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</si>
  <si>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</si>
  <si>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</si>
  <si>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</si>
  <si>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</si>
  <si>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</si>
  <si>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</si>
  <si>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</si>
  <si>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</si>
  <si>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</si>
  <si>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</si>
  <si>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</si>
  <si>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</si>
  <si>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</si>
  <si>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</si>
  <si>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</si>
  <si>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</si>
  <si>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</si>
  <si>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</si>
  <si>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</si>
  <si>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</si>
  <si>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</si>
  <si>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</si>
  <si>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</si>
  <si>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</si>
  <si>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</si>
  <si>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</si>
  <si>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</si>
  <si>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</si>
  <si>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</si>
  <si>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</si>
  <si>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</si>
  <si>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</si>
  <si>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</si>
  <si>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</si>
  <si>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</si>
  <si>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</si>
  <si>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</si>
  <si>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</si>
  <si>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</si>
  <si>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</si>
  <si>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</si>
  <si>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</si>
  <si>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</si>
  <si>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</si>
  <si>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</si>
  <si>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</si>
  <si>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</si>
  <si>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</si>
  <si>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</si>
  <si>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</si>
  <si>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</si>
  <si>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</si>
  <si>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</si>
  <si>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</si>
  <si>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</si>
  <si>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</si>
  <si>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</si>
  <si>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</si>
  <si>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</si>
  <si>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</si>
  <si>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</si>
  <si>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</si>
  <si>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</si>
  <si>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</si>
  <si>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</si>
  <si>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</si>
  <si>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</si>
  <si>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</si>
  <si>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</si>
  <si>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</si>
  <si>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</si>
  <si>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</si>
  <si>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</si>
  <si>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</si>
  <si>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</si>
  <si>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</si>
  <si>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</si>
  <si>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</si>
  <si>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</si>
  <si>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</si>
  <si>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</si>
  <si>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</si>
  <si>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</si>
  <si>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</si>
  <si>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</si>
  <si>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</si>
  <si>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</si>
  <si>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</si>
  <si>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</si>
  <si>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</si>
  <si>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</si>
  <si>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</si>
  <si>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</si>
  <si>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</si>
  <si>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</si>
  <si>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</si>
  <si>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</si>
  <si>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</si>
  <si>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</si>
  <si>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</si>
  <si>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</si>
  <si>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</si>
  <si>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</si>
  <si>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</si>
  <si>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</si>
  <si>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</si>
  <si>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</si>
  <si>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</si>
  <si>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</si>
  <si>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</si>
  <si>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</si>
  <si>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</si>
  <si>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</si>
  <si>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</si>
  <si>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</si>
  <si>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</si>
  <si>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</si>
  <si>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</si>
  <si>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</si>
  <si>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</si>
  <si>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</si>
  <si>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</si>
  <si>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</si>
  <si>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</si>
  <si>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</si>
  <si>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</si>
  <si>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</si>
  <si>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</si>
  <si>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</si>
  <si>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</si>
  <si>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</si>
  <si>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</si>
  <si>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</si>
  <si>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</si>
  <si>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</si>
  <si>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</si>
  <si>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</si>
  <si>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</si>
  <si>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</si>
  <si>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</si>
  <si>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</si>
  <si>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</si>
  <si>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</si>
  <si>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</si>
  <si>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</si>
  <si>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</si>
  <si>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</si>
  <si>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</si>
  <si>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</si>
  <si>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</si>
  <si>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</si>
  <si>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</si>
  <si>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</si>
  <si>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</si>
  <si>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</si>
  <si>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</si>
  <si>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</si>
  <si>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Fund 1</t>
  </si>
  <si>
    <t>Fund 2</t>
  </si>
  <si>
    <t>Fund 3</t>
  </si>
  <si>
    <t>One Time Rerserve</t>
  </si>
  <si>
    <t>Student direct cost, instructional &amp; institutional support</t>
  </si>
  <si>
    <t>Cash Match Grants</t>
  </si>
  <si>
    <t>The Lottery appropriation of $377,759 and other sales nontaxable of $5,000 supports baccalaureate operating expenses.</t>
  </si>
  <si>
    <t>Resident tution and fees budget is anticipated to be flat in enrollment compared to prior fiscal year's budget.</t>
  </si>
  <si>
    <t>Out-of-state tution and fees budget is anticipated to be flat in enrollment compared to prior fiscal year's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</si>
</sst>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style="thin">
        <color auto="1"/>
      </bottom>
      <diagonal/>
    </border>
    <border>
      <left/>
      <right style="medium">
        <color indexed="64"/>
      </right>
      <top/>
      <bottom style="thin">
        <color indexed="64"/>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51" xfId="0" applyFont="1" applyFill="1" applyBorder="1" applyProtection="1">
      <protection locked="0"/>
    </xf>
    <xf numFmtId="0" fontId="168" fillId="32" borderId="59"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4"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6" xfId="0" applyNumberFormat="1" applyFont="1" applyBorder="1" applyProtection="1"/>
    <xf numFmtId="37" fontId="107" fillId="0" borderId="306" xfId="0" applyNumberFormat="1" applyFont="1" applyFill="1" applyBorder="1" applyProtection="1"/>
    <xf numFmtId="37" fontId="115" fillId="0" borderId="306" xfId="0" applyNumberFormat="1" applyFont="1" applyBorder="1" applyProtection="1"/>
    <xf numFmtId="168" fontId="137" fillId="75" borderId="307" xfId="0" applyNumberFormat="1" applyFont="1" applyFill="1" applyBorder="1" applyAlignment="1" applyProtection="1">
      <alignment horizontal="right"/>
    </xf>
    <xf numFmtId="5" fontId="137" fillId="75" borderId="307" xfId="0" applyNumberFormat="1" applyFont="1" applyFill="1" applyBorder="1" applyAlignment="1" applyProtection="1">
      <alignment horizontal="right"/>
    </xf>
    <xf numFmtId="37" fontId="107" fillId="24" borderId="308"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0" xfId="0" applyNumberFormat="1" applyFont="1" applyFill="1" applyBorder="1" applyAlignment="1" applyProtection="1">
      <alignment horizontal="right"/>
    </xf>
    <xf numFmtId="37" fontId="107" fillId="24" borderId="311" xfId="0" applyNumberFormat="1" applyFont="1" applyFill="1" applyBorder="1" applyAlignment="1" applyProtection="1">
      <alignment horizontal="right"/>
    </xf>
    <xf numFmtId="37" fontId="107" fillId="0" borderId="312" xfId="0" applyNumberFormat="1" applyFont="1" applyBorder="1" applyProtection="1"/>
    <xf numFmtId="37" fontId="107" fillId="0" borderId="188" xfId="0" applyNumberFormat="1" applyFont="1" applyBorder="1" applyProtection="1"/>
    <xf numFmtId="37" fontId="107" fillId="0" borderId="313" xfId="0" applyNumberFormat="1" applyFont="1" applyBorder="1" applyAlignment="1" applyProtection="1">
      <alignment horizontal="right"/>
    </xf>
    <xf numFmtId="37" fontId="107" fillId="24" borderId="310" xfId="0" applyNumberFormat="1" applyFont="1" applyFill="1" applyBorder="1" applyAlignment="1" applyProtection="1">
      <alignment horizontal="right"/>
    </xf>
    <xf numFmtId="37" fontId="107" fillId="75" borderId="314" xfId="0" applyNumberFormat="1" applyFont="1" applyFill="1" applyBorder="1" applyAlignment="1" applyProtection="1">
      <alignment horizontal="right"/>
    </xf>
    <xf numFmtId="37" fontId="136" fillId="0" borderId="306" xfId="0" applyNumberFormat="1" applyFont="1" applyBorder="1" applyProtection="1"/>
    <xf numFmtId="37" fontId="136" fillId="0" borderId="0" xfId="0" applyNumberFormat="1" applyFont="1" applyBorder="1" applyProtection="1"/>
    <xf numFmtId="37" fontId="107" fillId="24" borderId="306" xfId="0" applyNumberFormat="1" applyFont="1" applyFill="1" applyBorder="1" applyProtection="1"/>
    <xf numFmtId="37" fontId="107" fillId="24" borderId="0" xfId="0" applyNumberFormat="1" applyFont="1" applyFill="1" applyBorder="1" applyProtection="1"/>
    <xf numFmtId="37" fontId="107" fillId="24" borderId="315" xfId="0" applyNumberFormat="1" applyFont="1" applyFill="1" applyBorder="1" applyAlignment="1" applyProtection="1">
      <alignment horizontal="right"/>
    </xf>
    <xf numFmtId="37" fontId="107" fillId="0" borderId="319" xfId="0" applyNumberFormat="1" applyFont="1" applyBorder="1" applyProtection="1"/>
    <xf numFmtId="37" fontId="107" fillId="0" borderId="320" xfId="0" applyNumberFormat="1" applyFont="1" applyBorder="1" applyProtection="1"/>
    <xf numFmtId="37" fontId="107" fillId="0" borderId="321" xfId="0" applyNumberFormat="1" applyFont="1" applyBorder="1" applyAlignment="1" applyProtection="1">
      <alignment horizontal="right"/>
    </xf>
    <xf numFmtId="37" fontId="107" fillId="24" borderId="322"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2" xfId="0" applyNumberFormat="1" applyFont="1" applyFill="1" applyBorder="1" applyAlignment="1" applyProtection="1">
      <alignment horizontal="right"/>
    </xf>
    <xf numFmtId="37" fontId="136" fillId="75" borderId="327" xfId="0" applyNumberFormat="1" applyFont="1" applyFill="1" applyBorder="1" applyAlignment="1" applyProtection="1">
      <alignment horizontal="right"/>
    </xf>
    <xf numFmtId="37" fontId="136" fillId="24" borderId="328" xfId="0" applyNumberFormat="1" applyFont="1" applyFill="1" applyBorder="1" applyAlignment="1" applyProtection="1">
      <alignment horizontal="right"/>
    </xf>
    <xf numFmtId="37" fontId="115" fillId="0" borderId="323"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2" xfId="0" applyNumberFormat="1" applyFont="1" applyBorder="1" applyProtection="1"/>
    <xf numFmtId="0" fontId="107" fillId="0" borderId="188" xfId="0" applyFont="1" applyBorder="1" applyProtection="1"/>
    <xf numFmtId="0" fontId="107" fillId="0" borderId="313"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6" xfId="0" applyFont="1" applyBorder="1" applyProtection="1"/>
    <xf numFmtId="37" fontId="136" fillId="75" borderId="332"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3" xfId="0" applyNumberFormat="1" applyFont="1" applyFill="1" applyBorder="1" applyAlignment="1" applyProtection="1">
      <alignment horizontal="right"/>
    </xf>
    <xf numFmtId="37" fontId="107" fillId="0" borderId="334" xfId="0" applyNumberFormat="1" applyFont="1" applyBorder="1" applyAlignment="1" applyProtection="1">
      <alignment horizontal="right"/>
    </xf>
    <xf numFmtId="37" fontId="136" fillId="75" borderId="335" xfId="0" applyNumberFormat="1" applyFont="1" applyFill="1" applyBorder="1" applyProtection="1"/>
    <xf numFmtId="37" fontId="136" fillId="24" borderId="333" xfId="0" applyNumberFormat="1" applyFont="1" applyFill="1" applyBorder="1" applyProtection="1"/>
    <xf numFmtId="37" fontId="115" fillId="0" borderId="306" xfId="0" applyNumberFormat="1" applyFont="1" applyBorder="1" applyAlignment="1" applyProtection="1">
      <alignment horizontal="fill"/>
    </xf>
    <xf numFmtId="37" fontId="115" fillId="30" borderId="337" xfId="0" applyNumberFormat="1" applyFont="1" applyFill="1" applyBorder="1" applyProtection="1"/>
    <xf numFmtId="37" fontId="107" fillId="30" borderId="338" xfId="0" applyNumberFormat="1" applyFont="1" applyFill="1" applyBorder="1" applyProtection="1"/>
    <xf numFmtId="37" fontId="107" fillId="30" borderId="339" xfId="0" applyNumberFormat="1" applyFont="1" applyFill="1" applyBorder="1" applyAlignment="1" applyProtection="1">
      <alignment horizontal="right"/>
    </xf>
    <xf numFmtId="37" fontId="136" fillId="75" borderId="340" xfId="0" applyNumberFormat="1" applyFont="1" applyFill="1" applyBorder="1" applyProtection="1"/>
    <xf numFmtId="37" fontId="107" fillId="25" borderId="306" xfId="0" applyNumberFormat="1" applyFont="1" applyFill="1" applyBorder="1" applyProtection="1"/>
    <xf numFmtId="37" fontId="170" fillId="33" borderId="336" xfId="0" applyNumberFormat="1" applyFont="1" applyFill="1" applyBorder="1" applyProtection="1">
      <protection locked="0"/>
    </xf>
    <xf numFmtId="5" fontId="115" fillId="75" borderId="336" xfId="0" applyNumberFormat="1" applyFont="1" applyFill="1" applyBorder="1" applyProtection="1"/>
    <xf numFmtId="37" fontId="115" fillId="0" borderId="341" xfId="0" applyNumberFormat="1" applyFont="1" applyBorder="1" applyAlignment="1" applyProtection="1">
      <alignment horizontal="fill"/>
    </xf>
    <xf numFmtId="37" fontId="115" fillId="24" borderId="341" xfId="0" applyNumberFormat="1" applyFont="1" applyFill="1" applyBorder="1" applyAlignment="1" applyProtection="1">
      <alignment horizontal="fill"/>
    </xf>
    <xf numFmtId="37" fontId="107" fillId="75" borderId="340" xfId="0" applyNumberFormat="1" applyFont="1" applyFill="1" applyBorder="1" applyProtection="1"/>
    <xf numFmtId="37" fontId="107" fillId="0" borderId="342" xfId="0" applyNumberFormat="1" applyFont="1" applyFill="1" applyBorder="1" applyProtection="1"/>
    <xf numFmtId="37" fontId="115" fillId="24" borderId="343" xfId="0" applyNumberFormat="1" applyFont="1" applyFill="1" applyBorder="1" applyAlignment="1" applyProtection="1">
      <alignment horizontal="fill"/>
    </xf>
    <xf numFmtId="0" fontId="107" fillId="0" borderId="323"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7" xfId="0" applyNumberFormat="1" applyFont="1" applyFill="1" applyBorder="1" applyProtection="1"/>
    <xf numFmtId="37" fontId="170" fillId="33" borderId="348" xfId="0" applyNumberFormat="1" applyFont="1" applyFill="1" applyBorder="1" applyProtection="1">
      <protection locked="0"/>
    </xf>
    <xf numFmtId="37" fontId="107" fillId="24" borderId="342" xfId="0" applyNumberFormat="1" applyFont="1" applyFill="1" applyBorder="1" applyProtection="1"/>
    <xf numFmtId="5" fontId="115" fillId="75" borderId="209" xfId="0" applyNumberFormat="1" applyFont="1" applyFill="1" applyBorder="1" applyProtection="1"/>
    <xf numFmtId="0" fontId="115" fillId="0" borderId="306" xfId="0" applyFont="1" applyBorder="1" applyProtection="1"/>
    <xf numFmtId="37" fontId="115" fillId="0" borderId="349"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0" xfId="0" applyNumberFormat="1" applyFont="1" applyFill="1" applyBorder="1" applyProtection="1"/>
    <xf numFmtId="37" fontId="115" fillId="0" borderId="352" xfId="0" applyNumberFormat="1" applyFont="1" applyBorder="1" applyProtection="1"/>
    <xf numFmtId="37" fontId="115" fillId="0" borderId="351" xfId="0" applyNumberFormat="1" applyFont="1" applyBorder="1" applyProtection="1"/>
    <xf numFmtId="37" fontId="115" fillId="0" borderId="351" xfId="0" applyNumberFormat="1" applyFont="1" applyBorder="1" applyAlignment="1" applyProtection="1">
      <alignment horizontal="center" wrapText="1"/>
    </xf>
    <xf numFmtId="37" fontId="115" fillId="0" borderId="305" xfId="0" applyNumberFormat="1" applyFont="1" applyBorder="1" applyAlignment="1" applyProtection="1">
      <alignment horizontal="center" wrapText="1"/>
    </xf>
    <xf numFmtId="37" fontId="136" fillId="75" borderId="339"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4" xfId="0" applyNumberFormat="1" applyFont="1" applyFill="1" applyBorder="1" applyProtection="1"/>
    <xf numFmtId="37" fontId="107" fillId="0" borderId="354" xfId="0" applyNumberFormat="1" applyFont="1" applyBorder="1" applyAlignment="1" applyProtection="1">
      <alignment horizontal="right"/>
    </xf>
    <xf numFmtId="5" fontId="137" fillId="75" borderId="350" xfId="0" applyNumberFormat="1" applyFont="1" applyFill="1" applyBorder="1" applyProtection="1"/>
    <xf numFmtId="37" fontId="115" fillId="0" borderId="355" xfId="0" applyNumberFormat="1" applyFont="1" applyBorder="1" applyProtection="1"/>
    <xf numFmtId="37" fontId="107" fillId="0" borderId="356" xfId="0" applyNumberFormat="1" applyFont="1" applyBorder="1" applyProtection="1"/>
    <xf numFmtId="37" fontId="107" fillId="0" borderId="357" xfId="0" applyNumberFormat="1" applyFont="1" applyBorder="1" applyAlignment="1" applyProtection="1">
      <alignment horizontal="right"/>
    </xf>
    <xf numFmtId="5" fontId="115" fillId="75" borderId="357" xfId="0" applyNumberFormat="1" applyFont="1" applyFill="1" applyBorder="1" applyProtection="1"/>
    <xf numFmtId="5" fontId="137" fillId="75" borderId="358"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2" xfId="0" applyNumberFormat="1" applyFont="1" applyFill="1" applyBorder="1" applyProtection="1"/>
    <xf numFmtId="37" fontId="107" fillId="30" borderId="351" xfId="0" applyNumberFormat="1" applyFont="1" applyFill="1" applyBorder="1" applyProtection="1"/>
    <xf numFmtId="37" fontId="107" fillId="30" borderId="353" xfId="0" applyNumberFormat="1" applyFont="1" applyFill="1" applyBorder="1" applyProtection="1"/>
    <xf numFmtId="37" fontId="107" fillId="30" borderId="305" xfId="0" applyNumberFormat="1" applyFont="1" applyFill="1" applyBorder="1" applyProtection="1"/>
    <xf numFmtId="0" fontId="180" fillId="0" borderId="0" xfId="0" applyFont="1" applyFill="1" applyAlignment="1" applyProtection="1">
      <alignment vertical="top" wrapText="1"/>
    </xf>
    <xf numFmtId="0" fontId="144" fillId="32" borderId="359" xfId="0" applyFont="1" applyFill="1" applyBorder="1" applyProtection="1">
      <protection locked="0"/>
    </xf>
    <xf numFmtId="0" fontId="144" fillId="32" borderId="360" xfId="0" applyFont="1" applyFill="1" applyBorder="1" applyProtection="1">
      <protection locked="0"/>
    </xf>
    <xf numFmtId="0" fontId="168" fillId="32" borderId="359" xfId="0" applyFont="1" applyFill="1" applyBorder="1" applyProtection="1">
      <protection locked="0"/>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29"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7"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4"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09"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0" xfId="0" applyNumberFormat="1" applyFont="1" applyFill="1" applyBorder="1" applyAlignment="1" applyProtection="1">
      <alignment horizontal="left"/>
    </xf>
    <xf numFmtId="37" fontId="115" fillId="30" borderId="316"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1"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2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82" fillId="0" borderId="0" xfId="0" applyFont="1" applyFill="1" applyAlignment="1" applyProtection="1">
      <alignment horizontal="centerContinuous" vertical="top"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115" fillId="0" borderId="0" xfId="0" applyFont="1" applyAlignment="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44" fillId="32" borderId="22" xfId="0" applyFont="1" applyFill="1" applyBorder="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75" fillId="32" borderId="361" xfId="0" applyFont="1" applyFill="1" applyBorder="1" applyAlignment="1" applyProtection="1">
      <alignment horizontal="center"/>
      <protection locked="0"/>
    </xf>
    <xf numFmtId="0" fontId="175" fillId="32" borderId="260" xfId="0" applyFont="1" applyFill="1" applyBorder="1" applyAlignment="1" applyProtection="1">
      <alignment horizontal="center"/>
      <protection locked="0"/>
    </xf>
    <xf numFmtId="0" fontId="79" fillId="29" borderId="156" xfId="0" applyFont="1" applyFill="1" applyBorder="1"/>
    <xf numFmtId="0" fontId="175" fillId="32" borderId="362"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175" fillId="32" borderId="114"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561975</xdr:colOff>
          <xdr:row>51</xdr:row>
          <xdr:rowOff>85725</xdr:rowOff>
        </xdr:to>
        <xdr:sp macro="" textlink="">
          <xdr:nvSpPr>
            <xdr:cNvPr id="40968" name="Object 8" descr="This is a PDF attachment. It is the 2019-20 Instructions for the Operating Budget Workbook Forms."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504825</xdr:colOff>
          <xdr:row>52</xdr:row>
          <xdr:rowOff>123825</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1" t="s">
        <v>277</v>
      </c>
      <c r="B1" s="1291"/>
      <c r="C1" s="1291"/>
      <c r="D1" s="1291"/>
      <c r="E1" s="1291"/>
    </row>
    <row r="2" spans="1:5" ht="23.25">
      <c r="A2" s="1291" t="s">
        <v>524</v>
      </c>
      <c r="B2" s="1291"/>
      <c r="C2" s="1291"/>
      <c r="D2" s="1291"/>
      <c r="E2" s="1291"/>
    </row>
    <row r="3" spans="1:5" ht="23.25">
      <c r="A3" s="1291" t="s">
        <v>443</v>
      </c>
      <c r="B3" s="1291"/>
      <c r="C3" s="1291"/>
      <c r="D3" s="1291"/>
      <c r="E3" s="1291"/>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2" t="s">
        <v>515</v>
      </c>
      <c r="B10" s="21"/>
      <c r="C10" s="23" t="s">
        <v>507</v>
      </c>
      <c r="D10" s="24"/>
      <c r="E10" s="20" t="s">
        <v>517</v>
      </c>
    </row>
    <row r="11" spans="1:5" s="5" customFormat="1" ht="20.100000000000001" customHeight="1">
      <c r="A11" s="1292"/>
      <c r="B11" s="21"/>
      <c r="C11" s="21"/>
      <c r="D11" s="24"/>
      <c r="E11" s="21"/>
    </row>
    <row r="12" spans="1:5" ht="20.100000000000001" customHeight="1">
      <c r="A12" s="25"/>
      <c r="B12" s="25"/>
      <c r="C12" s="25"/>
      <c r="D12" s="26"/>
      <c r="E12" s="25"/>
    </row>
    <row r="13" spans="1:5" ht="20.100000000000001" customHeight="1">
      <c r="A13" s="1293" t="s">
        <v>519</v>
      </c>
      <c r="B13" s="25"/>
      <c r="C13" s="25"/>
      <c r="D13" s="26"/>
      <c r="E13" s="25"/>
    </row>
    <row r="14" spans="1:5" ht="20.100000000000001" customHeight="1">
      <c r="A14" s="1293"/>
      <c r="B14" s="25"/>
      <c r="C14" s="25"/>
      <c r="D14" s="25"/>
      <c r="E14" s="25"/>
    </row>
    <row r="15" spans="1:5" ht="20.100000000000001" customHeight="1">
      <c r="A15" s="1293"/>
      <c r="B15" s="25"/>
      <c r="C15" s="25"/>
      <c r="D15" s="25"/>
      <c r="E15" s="25"/>
    </row>
    <row r="16" spans="1:5" ht="20.100000000000001" customHeight="1">
      <c r="A16" s="1293"/>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73" zoomScaleNormal="73" workbookViewId="0">
      <selection activeCell="I13" sqref="I13"/>
    </sheetView>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1254"/>
      <c r="B2" s="1254"/>
      <c r="C2" s="1254"/>
      <c r="D2" s="1254"/>
      <c r="E2" s="1255"/>
      <c r="F2" s="656"/>
    </row>
    <row r="3" spans="1:8" ht="24" customHeight="1" thickBot="1">
      <c r="A3" s="1250" t="s">
        <v>15</v>
      </c>
      <c r="B3" s="1240" t="str">
        <f>'CHECK SHEET'!D7</f>
        <v>St. Petersburg College</v>
      </c>
      <c r="C3" s="1240"/>
      <c r="D3" s="1240"/>
      <c r="E3" s="1240"/>
      <c r="F3" s="659"/>
      <c r="G3" s="650"/>
    </row>
    <row r="4" spans="1:8" ht="24" customHeight="1">
      <c r="A4" s="1236" t="s">
        <v>199</v>
      </c>
      <c r="B4" s="1236"/>
      <c r="C4" s="1236"/>
      <c r="D4" s="1236"/>
      <c r="E4" s="1236"/>
      <c r="F4" s="697"/>
    </row>
    <row r="5" spans="1:8" ht="24" customHeight="1">
      <c r="A5" s="1236" t="s">
        <v>200</v>
      </c>
      <c r="B5" s="1236"/>
      <c r="C5" s="1236"/>
      <c r="D5" s="1236"/>
      <c r="E5" s="1236"/>
      <c r="F5" s="697"/>
    </row>
    <row r="6" spans="1:8" ht="24" customHeight="1">
      <c r="A6" s="1256" t="s">
        <v>780</v>
      </c>
      <c r="B6" s="1256"/>
      <c r="C6" s="1256"/>
      <c r="D6" s="1256"/>
      <c r="E6" s="1256"/>
      <c r="F6" s="698"/>
    </row>
    <row r="7" spans="1:8" ht="20.100000000000001" customHeight="1">
      <c r="A7" s="651"/>
      <c r="B7" s="651"/>
      <c r="C7" s="651"/>
      <c r="D7" s="652"/>
      <c r="E7" s="652"/>
      <c r="F7" s="649"/>
    </row>
    <row r="8" spans="1:8" ht="24" customHeight="1" thickBot="1">
      <c r="A8" s="1257" t="s">
        <v>668</v>
      </c>
      <c r="B8" s="1257"/>
      <c r="C8" s="1257"/>
      <c r="D8" s="652"/>
      <c r="E8" s="652"/>
      <c r="F8" s="649"/>
      <c r="H8" s="653"/>
    </row>
    <row r="9" spans="1:8" s="50" customFormat="1" ht="64.150000000000006" customHeight="1" thickBot="1">
      <c r="A9" s="548" t="s">
        <v>201</v>
      </c>
      <c r="B9" s="1122" t="s">
        <v>659</v>
      </c>
      <c r="C9" s="586" t="s">
        <v>660</v>
      </c>
      <c r="D9" s="586" t="s">
        <v>658</v>
      </c>
      <c r="E9" s="693" t="s">
        <v>2</v>
      </c>
      <c r="F9" s="699"/>
      <c r="H9" s="690"/>
    </row>
    <row r="10" spans="1:8" s="50" customFormat="1" ht="19.899999999999999" customHeight="1">
      <c r="A10" s="720" t="s">
        <v>675</v>
      </c>
      <c r="B10" s="858">
        <f>58658561.83+0.4</f>
        <v>58658562.229999997</v>
      </c>
      <c r="C10" s="859">
        <f>2148607.55-0.4</f>
        <v>2148607.15</v>
      </c>
      <c r="D10" s="859">
        <v>24049.14</v>
      </c>
      <c r="E10" s="721">
        <f>SUM(B10:D10)</f>
        <v>60831218.519999996</v>
      </c>
      <c r="F10" s="691"/>
      <c r="G10" s="690"/>
    </row>
    <row r="11" spans="1:8" s="50" customFormat="1" ht="19.899999999999999" customHeight="1">
      <c r="A11" s="720" t="s">
        <v>202</v>
      </c>
      <c r="B11" s="860">
        <v>0</v>
      </c>
      <c r="C11" s="847">
        <v>0</v>
      </c>
      <c r="D11" s="847">
        <v>0</v>
      </c>
      <c r="E11" s="722">
        <v>0</v>
      </c>
      <c r="F11" s="691"/>
      <c r="G11" s="690"/>
      <c r="H11" s="690"/>
    </row>
    <row r="12" spans="1:8" s="50" customFormat="1" ht="19.899999999999999" customHeight="1" thickBot="1">
      <c r="A12" s="720" t="s">
        <v>203</v>
      </c>
      <c r="B12" s="860">
        <v>0</v>
      </c>
      <c r="C12" s="847">
        <v>1060.24</v>
      </c>
      <c r="D12" s="847">
        <v>0</v>
      </c>
      <c r="E12" s="722">
        <f>SUM(B12:D12)</f>
        <v>1060.24</v>
      </c>
      <c r="F12" s="691"/>
    </row>
    <row r="13" spans="1:8" s="50" customFormat="1" ht="19.899999999999999" customHeight="1" thickBot="1">
      <c r="A13" s="720" t="s">
        <v>209</v>
      </c>
      <c r="B13" s="723"/>
      <c r="C13" s="724"/>
      <c r="D13" s="724"/>
      <c r="E13" s="725"/>
      <c r="F13" s="691"/>
    </row>
    <row r="14" spans="1:8" s="50" customFormat="1" ht="19.899999999999999" customHeight="1">
      <c r="A14" s="720" t="s">
        <v>211</v>
      </c>
      <c r="B14" s="860">
        <v>17480591.18</v>
      </c>
      <c r="C14" s="861">
        <v>3684023</v>
      </c>
      <c r="D14" s="861">
        <v>103282.59</v>
      </c>
      <c r="E14" s="722">
        <f t="shared" ref="E14:E20" si="0">SUM(B14:D14)</f>
        <v>21267896.77</v>
      </c>
      <c r="F14" s="691"/>
    </row>
    <row r="15" spans="1:8" s="50" customFormat="1" ht="19.899999999999999" customHeight="1">
      <c r="A15" s="720" t="s">
        <v>210</v>
      </c>
      <c r="B15" s="860">
        <v>467738.22</v>
      </c>
      <c r="C15" s="847">
        <v>364750.13</v>
      </c>
      <c r="D15" s="847">
        <v>0</v>
      </c>
      <c r="E15" s="722">
        <f>SUM(B15:D15)</f>
        <v>832488.35</v>
      </c>
      <c r="F15" s="691"/>
    </row>
    <row r="16" spans="1:8" s="50" customFormat="1" ht="19.899999999999999" customHeight="1">
      <c r="A16" s="720" t="s">
        <v>204</v>
      </c>
      <c r="B16" s="860">
        <v>13360623.82</v>
      </c>
      <c r="C16" s="847">
        <v>5477218.2199999997</v>
      </c>
      <c r="D16" s="847">
        <v>9603.7999999999993</v>
      </c>
      <c r="E16" s="722">
        <f t="shared" si="0"/>
        <v>18847445.84</v>
      </c>
      <c r="F16" s="691"/>
    </row>
    <row r="17" spans="1:6" s="50" customFormat="1" ht="19.899999999999999" customHeight="1">
      <c r="A17" s="720" t="s">
        <v>205</v>
      </c>
      <c r="B17" s="860">
        <v>11232980.83</v>
      </c>
      <c r="C17" s="847">
        <v>7146392.4299999997</v>
      </c>
      <c r="D17" s="847">
        <v>89559.28</v>
      </c>
      <c r="E17" s="722">
        <f t="shared" si="0"/>
        <v>18468932.539999999</v>
      </c>
      <c r="F17" s="691"/>
    </row>
    <row r="18" spans="1:6" s="50" customFormat="1" ht="19.899999999999999" customHeight="1">
      <c r="A18" s="720" t="s">
        <v>206</v>
      </c>
      <c r="B18" s="860">
        <v>10549247.24</v>
      </c>
      <c r="C18" s="847">
        <v>7988700.3600000003</v>
      </c>
      <c r="D18" s="847">
        <v>96049.19</v>
      </c>
      <c r="E18" s="722">
        <f t="shared" si="0"/>
        <v>18633996.790000003</v>
      </c>
      <c r="F18" s="691"/>
    </row>
    <row r="19" spans="1:6" s="50" customFormat="1" ht="19.899999999999999" customHeight="1">
      <c r="A19" s="720" t="s">
        <v>207</v>
      </c>
      <c r="B19" s="860">
        <v>0</v>
      </c>
      <c r="C19" s="847">
        <v>0</v>
      </c>
      <c r="D19" s="847">
        <v>0</v>
      </c>
      <c r="E19" s="722">
        <f t="shared" si="0"/>
        <v>0</v>
      </c>
      <c r="F19" s="691"/>
    </row>
    <row r="20" spans="1:6" s="50" customFormat="1" ht="19.899999999999999" customHeight="1" thickBot="1">
      <c r="A20" s="720" t="s">
        <v>208</v>
      </c>
      <c r="B20" s="860">
        <v>0</v>
      </c>
      <c r="C20" s="848">
        <v>4658303.9400000004</v>
      </c>
      <c r="D20" s="848">
        <v>0</v>
      </c>
      <c r="E20" s="722">
        <f t="shared" si="0"/>
        <v>4658303.9400000004</v>
      </c>
      <c r="F20" s="691"/>
    </row>
    <row r="21" spans="1:6" s="50" customFormat="1" ht="24" customHeight="1" thickBot="1">
      <c r="A21" s="561" t="s">
        <v>2</v>
      </c>
      <c r="B21" s="692">
        <f>SUM(B10:B20)</f>
        <v>111749743.51999998</v>
      </c>
      <c r="C21" s="695">
        <f>SUM(C10:C20)</f>
        <v>31469055.470000003</v>
      </c>
      <c r="D21" s="695">
        <f>SUM(D10:D20)</f>
        <v>322544</v>
      </c>
      <c r="E21" s="694">
        <f>SUM(E10:E20)</f>
        <v>143541342.98999998</v>
      </c>
      <c r="F21" s="691"/>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iDuAOxFnakBwt+fOnra2g/p3Cpk9UScVN45ObR+nKaD33E+KTrLo200deF1GaUpNO4I2pIp/6GgEqsacY9FcqQ==" saltValue="8vI9yHj9k0fVoS23PuI/g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98" zoomScaleNormal="98" workbookViewId="0">
      <selection activeCell="A4" sqref="A4:J4"/>
    </sheetView>
  </sheetViews>
  <sheetFormatPr defaultRowHeight="12.75"/>
  <cols>
    <col min="1" max="1" width="78.7109375" customWidth="1"/>
  </cols>
  <sheetData>
    <row r="1" spans="1:7" ht="25.9" customHeight="1">
      <c r="A1" s="967" t="s">
        <v>661</v>
      </c>
      <c r="B1" s="966"/>
      <c r="C1" s="966"/>
      <c r="D1" s="966"/>
      <c r="E1" s="966"/>
      <c r="F1" s="966"/>
      <c r="G1" s="966"/>
    </row>
    <row r="2" spans="1:7" ht="26.25">
      <c r="A2" s="944" t="s">
        <v>662</v>
      </c>
      <c r="B2" s="966"/>
    </row>
    <row r="3" spans="1:7" ht="25.9" customHeight="1">
      <c r="A3" s="943" t="s">
        <v>736</v>
      </c>
      <c r="B3" s="96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504825</xdr:colOff>
                <xdr:row>52</xdr:row>
                <xdr:rowOff>123825</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1" zoomScaleNormal="51" zoomScaleSheetLayoutView="50" workbookViewId="0">
      <selection activeCell="D137" sqref="D137"/>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36" t="s">
        <v>15</v>
      </c>
      <c r="B1" s="1258" t="str">
        <f>'CHECK SHEET'!D7</f>
        <v>St. Petersburg College</v>
      </c>
      <c r="C1" s="1258"/>
      <c r="D1" s="1258"/>
      <c r="E1" s="1258"/>
      <c r="F1" s="1159"/>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259" t="s">
        <v>512</v>
      </c>
      <c r="B2" s="1259"/>
      <c r="C2" s="1259"/>
      <c r="D2" s="1259"/>
      <c r="E2" s="1259"/>
      <c r="F2" s="1158"/>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260" t="s">
        <v>570</v>
      </c>
      <c r="B3" s="1260"/>
      <c r="C3" s="1260"/>
      <c r="D3" s="1260"/>
      <c r="E3" s="1260"/>
      <c r="F3" s="1163"/>
    </row>
    <row r="4" spans="1:224" ht="30" customHeight="1">
      <c r="A4" s="1259" t="s">
        <v>780</v>
      </c>
      <c r="B4" s="1259"/>
      <c r="C4" s="1259"/>
      <c r="D4" s="1259"/>
      <c r="E4" s="1259"/>
      <c r="F4" s="115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158"/>
      <c r="B5" s="1158"/>
      <c r="C5" s="1158"/>
      <c r="D5" s="1158"/>
      <c r="E5" s="1158"/>
      <c r="F5" s="115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9" t="s">
        <v>668</v>
      </c>
      <c r="B7" s="1180"/>
      <c r="C7" s="1160" t="s">
        <v>741</v>
      </c>
      <c r="D7" s="1161"/>
      <c r="E7" s="1161"/>
      <c r="F7" s="1162"/>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261" t="s">
        <v>509</v>
      </c>
      <c r="B8" s="1262"/>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2" t="s">
        <v>103</v>
      </c>
      <c r="B9" s="1176"/>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2">
        <v>33314.31</v>
      </c>
      <c r="E10" s="862">
        <v>0</v>
      </c>
      <c r="F10" s="405">
        <f t="shared" ref="F10:F80" si="0">+D10+E10</f>
        <v>33314.31</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3">
        <v>790484.7</v>
      </c>
      <c r="E11" s="863">
        <v>0</v>
      </c>
      <c r="F11" s="413">
        <f t="shared" si="0"/>
        <v>790484.7</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3">
        <v>35557.68</v>
      </c>
      <c r="E12" s="863">
        <v>0</v>
      </c>
      <c r="F12" s="413">
        <f t="shared" si="0"/>
        <v>35557.68</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3">
        <v>0</v>
      </c>
      <c r="E13" s="863">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3">
        <v>0</v>
      </c>
      <c r="E14" s="863">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3">
        <v>4248364.91</v>
      </c>
      <c r="E15" s="863">
        <v>0</v>
      </c>
      <c r="F15" s="413">
        <f t="shared" si="0"/>
        <v>4248364.91</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3">
        <v>773780</v>
      </c>
      <c r="E16" s="863">
        <v>0</v>
      </c>
      <c r="F16" s="413">
        <f t="shared" si="0"/>
        <v>773780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3">
        <v>0</v>
      </c>
      <c r="E17" s="863">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3">
        <v>97219.199999999997</v>
      </c>
      <c r="E18" s="863">
        <v>0</v>
      </c>
      <c r="F18" s="413">
        <f t="shared" si="0"/>
        <v>97219.199999999997</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3">
        <v>0</v>
      </c>
      <c r="E19" s="863">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3">
        <v>0</v>
      </c>
      <c r="E20" s="863">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3">
        <v>0</v>
      </c>
      <c r="E21" s="863">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3">
        <v>0</v>
      </c>
      <c r="E22" s="863">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3">
        <v>0</v>
      </c>
      <c r="E23" s="863">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3">
        <v>0</v>
      </c>
      <c r="E24" s="863">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3">
        <v>1204110.3799999999</v>
      </c>
      <c r="E25" s="863">
        <v>0</v>
      </c>
      <c r="F25" s="413">
        <f t="shared" si="0"/>
        <v>1204110.3799999999</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3">
        <v>0</v>
      </c>
      <c r="E26" s="863">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3">
        <v>0</v>
      </c>
      <c r="E27" s="863">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3">
        <v>0</v>
      </c>
      <c r="E28" s="863">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3">
        <v>0</v>
      </c>
      <c r="E29" s="863">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3">
        <v>518188.82</v>
      </c>
      <c r="E30" s="863">
        <v>0</v>
      </c>
      <c r="F30" s="413">
        <f t="shared" si="0"/>
        <v>518188.82</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3">
        <v>2456</v>
      </c>
      <c r="E31" s="863">
        <v>0</v>
      </c>
      <c r="F31" s="413">
        <f t="shared" si="0"/>
        <v>2456</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3">
        <v>0</v>
      </c>
      <c r="E32" s="863">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3">
        <v>0</v>
      </c>
      <c r="E33" s="863">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3">
        <v>1149809</v>
      </c>
      <c r="E34" s="863">
        <v>0</v>
      </c>
      <c r="F34" s="413">
        <f t="shared" si="0"/>
        <v>1149809</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3">
        <v>0</v>
      </c>
      <c r="E35" s="863">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3">
        <v>0</v>
      </c>
      <c r="E36" s="863">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3">
        <v>0</v>
      </c>
      <c r="E37" s="863">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3">
        <v>0</v>
      </c>
      <c r="E38" s="863">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3">
        <v>0</v>
      </c>
      <c r="E39" s="863">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3">
        <v>10706</v>
      </c>
      <c r="E40" s="863">
        <v>0</v>
      </c>
      <c r="F40" s="413">
        <f t="shared" si="0"/>
        <v>10706</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3">
        <v>22902</v>
      </c>
      <c r="E41" s="863">
        <v>0</v>
      </c>
      <c r="F41" s="413">
        <f t="shared" si="0"/>
        <v>22902</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3">
        <v>0</v>
      </c>
      <c r="E42" s="863">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3">
        <v>0</v>
      </c>
      <c r="E43" s="863">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3">
        <v>0</v>
      </c>
      <c r="E44" s="863">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3">
        <v>0</v>
      </c>
      <c r="E45" s="863">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3">
        <v>0</v>
      </c>
      <c r="E46" s="863">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3">
        <v>0</v>
      </c>
      <c r="E47" s="863">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3">
        <v>524814.9</v>
      </c>
      <c r="E48" s="863">
        <v>0</v>
      </c>
      <c r="F48" s="413">
        <f t="shared" si="0"/>
        <v>524814.9</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3">
        <v>580990.17000000004</v>
      </c>
      <c r="E49" s="863">
        <v>0</v>
      </c>
      <c r="F49" s="413">
        <f t="shared" si="0"/>
        <v>580990.17000000004</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3">
        <v>0</v>
      </c>
      <c r="E50" s="863">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3">
        <v>0</v>
      </c>
      <c r="E51" s="863">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3">
        <v>660</v>
      </c>
      <c r="E52" s="863">
        <v>0</v>
      </c>
      <c r="F52" s="413">
        <f t="shared" si="0"/>
        <v>660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3">
        <v>0</v>
      </c>
      <c r="E53" s="863">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3">
        <v>1080590.31</v>
      </c>
      <c r="E54" s="863">
        <v>0</v>
      </c>
      <c r="F54" s="413">
        <f t="shared" si="0"/>
        <v>1080590.31</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3">
        <v>19538</v>
      </c>
      <c r="E55" s="863">
        <v>0</v>
      </c>
      <c r="F55" s="413">
        <f t="shared" si="0"/>
        <v>19538</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3">
        <v>36731.300000000003</v>
      </c>
      <c r="E56" s="864">
        <v>0</v>
      </c>
      <c r="F56" s="418">
        <f t="shared" si="0"/>
        <v>36731.300000000003</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11130217.680000002</v>
      </c>
      <c r="E57" s="468">
        <f>SUM(E10:E56)</f>
        <v>0</v>
      </c>
      <c r="F57" s="468">
        <f t="shared" si="0"/>
        <v>11130217.680000002</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0" t="str">
        <f>C7</f>
        <v>2019-20</v>
      </c>
      <c r="D61" s="1161"/>
      <c r="E61" s="1161"/>
      <c r="F61" s="1162"/>
      <c r="G61" s="406"/>
      <c r="H61" s="407"/>
      <c r="I61" s="407"/>
      <c r="J61" s="407"/>
      <c r="K61" s="407"/>
      <c r="L61" s="407"/>
      <c r="M61" s="407"/>
      <c r="N61" s="407"/>
      <c r="O61" s="407"/>
      <c r="P61" s="407"/>
      <c r="Q61" s="407"/>
      <c r="R61" s="408"/>
      <c r="S61" s="408"/>
      <c r="T61" s="408"/>
      <c r="U61" s="408"/>
    </row>
    <row r="62" spans="1:21" s="409" customFormat="1" ht="111.6" customHeight="1" thickBot="1">
      <c r="A62" s="1261" t="s">
        <v>509</v>
      </c>
      <c r="B62" s="1262"/>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7" t="s">
        <v>12</v>
      </c>
      <c r="B63" s="1178"/>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2">
        <v>32663.5</v>
      </c>
      <c r="E64" s="862">
        <v>0</v>
      </c>
      <c r="F64" s="405">
        <f t="shared" si="0"/>
        <v>32663.5</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3">
        <v>3148</v>
      </c>
      <c r="E65" s="865">
        <v>0</v>
      </c>
      <c r="F65" s="432">
        <f t="shared" si="0"/>
        <v>3148</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3">
        <v>3200</v>
      </c>
      <c r="E66" s="865">
        <v>0</v>
      </c>
      <c r="F66" s="432">
        <f t="shared" si="0"/>
        <v>3200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3">
        <v>22172</v>
      </c>
      <c r="E67" s="865">
        <v>0</v>
      </c>
      <c r="F67" s="432">
        <f t="shared" si="0"/>
        <v>22172</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3">
        <v>0</v>
      </c>
      <c r="E68" s="865">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3">
        <v>750328</v>
      </c>
      <c r="E69" s="865">
        <v>0</v>
      </c>
      <c r="F69" s="432">
        <f t="shared" si="0"/>
        <v>750328</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3">
        <v>0</v>
      </c>
      <c r="E70" s="865">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3">
        <v>140</v>
      </c>
      <c r="E71" s="865">
        <v>0</v>
      </c>
      <c r="F71" s="432">
        <f t="shared" si="0"/>
        <v>140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3">
        <v>0</v>
      </c>
      <c r="E72" s="865">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3">
        <v>0</v>
      </c>
      <c r="E73" s="865">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3">
        <v>0</v>
      </c>
      <c r="E74" s="865">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3">
        <v>0</v>
      </c>
      <c r="E75" s="865">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3">
        <v>0</v>
      </c>
      <c r="E76" s="865">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3">
        <v>500</v>
      </c>
      <c r="E77" s="865">
        <v>0</v>
      </c>
      <c r="F77" s="432">
        <f t="shared" si="0"/>
        <v>500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3">
        <v>0</v>
      </c>
      <c r="E78" s="865">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3">
        <v>18839</v>
      </c>
      <c r="E79" s="865">
        <v>0</v>
      </c>
      <c r="F79" s="432">
        <f t="shared" si="0"/>
        <v>18839</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3">
        <v>0</v>
      </c>
      <c r="E80" s="865">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3">
        <v>0</v>
      </c>
      <c r="E81" s="865">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3">
        <v>38958</v>
      </c>
      <c r="E82" s="865">
        <v>0</v>
      </c>
      <c r="F82" s="432">
        <f t="shared" si="1"/>
        <v>38958</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3">
        <v>98741</v>
      </c>
      <c r="E83" s="865">
        <v>0</v>
      </c>
      <c r="F83" s="432">
        <f t="shared" si="1"/>
        <v>98741</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3">
        <v>1114427.57</v>
      </c>
      <c r="E84" s="865">
        <v>0</v>
      </c>
      <c r="F84" s="432">
        <f t="shared" si="1"/>
        <v>1114427.57</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3">
        <v>0</v>
      </c>
      <c r="E85" s="865">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3">
        <v>2471</v>
      </c>
      <c r="E86" s="865">
        <v>0</v>
      </c>
      <c r="F86" s="432">
        <f t="shared" si="1"/>
        <v>2471</v>
      </c>
      <c r="G86" s="406"/>
      <c r="H86" s="406"/>
      <c r="I86" s="406"/>
      <c r="J86" s="406"/>
      <c r="K86" s="406"/>
      <c r="L86" s="406"/>
      <c r="M86" s="406"/>
      <c r="N86" s="406"/>
      <c r="O86" s="406"/>
      <c r="P86" s="406"/>
      <c r="Q86" s="406"/>
    </row>
    <row r="87" spans="1:21" s="409" customFormat="1" ht="30" customHeight="1">
      <c r="A87" s="429" t="s">
        <v>357</v>
      </c>
      <c r="B87" s="430"/>
      <c r="C87" s="431" t="s">
        <v>168</v>
      </c>
      <c r="D87" s="863">
        <v>192862</v>
      </c>
      <c r="E87" s="865">
        <v>0</v>
      </c>
      <c r="F87" s="432">
        <f t="shared" ref="F87:F92" si="2">+D87+E87</f>
        <v>192862</v>
      </c>
      <c r="G87" s="406"/>
      <c r="H87" s="406"/>
      <c r="I87" s="406"/>
      <c r="J87" s="406"/>
      <c r="K87" s="406"/>
      <c r="L87" s="406"/>
      <c r="M87" s="406"/>
      <c r="N87" s="406"/>
      <c r="O87" s="406"/>
      <c r="P87" s="406"/>
      <c r="Q87" s="406"/>
    </row>
    <row r="88" spans="1:21" s="409" customFormat="1" ht="30" customHeight="1">
      <c r="A88" s="429" t="s">
        <v>358</v>
      </c>
      <c r="B88" s="430"/>
      <c r="C88" s="431" t="s">
        <v>169</v>
      </c>
      <c r="D88" s="863">
        <v>0</v>
      </c>
      <c r="E88" s="865">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3">
        <v>0</v>
      </c>
      <c r="E89" s="865">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3">
        <v>0</v>
      </c>
      <c r="E90" s="865">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3">
        <v>0</v>
      </c>
      <c r="E91" s="865">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3">
        <v>0</v>
      </c>
      <c r="E92" s="865">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3">
        <v>0</v>
      </c>
      <c r="E93" s="865">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3">
        <v>0</v>
      </c>
      <c r="E94" s="865">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3">
        <v>0</v>
      </c>
      <c r="E95" s="865">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3">
        <v>0</v>
      </c>
      <c r="E96" s="865">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3">
        <v>0</v>
      </c>
      <c r="E97" s="865">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3">
        <v>0</v>
      </c>
      <c r="E98" s="865">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3">
        <v>0</v>
      </c>
      <c r="E99" s="865">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3">
        <v>0</v>
      </c>
      <c r="E100" s="865">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3">
        <v>0</v>
      </c>
      <c r="E101" s="865">
        <v>0</v>
      </c>
      <c r="F101" s="436">
        <f t="shared" si="1"/>
        <v>0</v>
      </c>
      <c r="G101" s="406"/>
      <c r="H101" s="406"/>
      <c r="I101" s="406"/>
      <c r="J101" s="406"/>
      <c r="K101" s="406"/>
      <c r="L101" s="406"/>
      <c r="M101" s="406"/>
      <c r="N101" s="406"/>
      <c r="O101" s="406"/>
      <c r="P101" s="406"/>
      <c r="Q101" s="406"/>
    </row>
    <row r="102" spans="1:17" s="409" customFormat="1" ht="30" customHeight="1" thickBot="1">
      <c r="A102" s="1174" t="s">
        <v>179</v>
      </c>
      <c r="B102" s="1175"/>
      <c r="C102" s="471"/>
      <c r="D102" s="469">
        <f>SUM(D64:D101)</f>
        <v>2278450.0700000003</v>
      </c>
      <c r="E102" s="469">
        <f>SUM(E64:E101)</f>
        <v>0</v>
      </c>
      <c r="F102" s="469">
        <f t="shared" si="1"/>
        <v>2278450.0700000003</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0" t="str">
        <f>C7</f>
        <v>2019-20</v>
      </c>
      <c r="D105" s="1161"/>
      <c r="E105" s="1161"/>
      <c r="F105" s="1162"/>
      <c r="G105" s="406"/>
      <c r="H105" s="406"/>
      <c r="I105" s="406"/>
      <c r="J105" s="406"/>
      <c r="K105" s="406"/>
      <c r="L105" s="406"/>
      <c r="M105" s="406"/>
      <c r="N105" s="406"/>
      <c r="O105" s="406"/>
      <c r="P105" s="406"/>
      <c r="Q105" s="406"/>
    </row>
    <row r="106" spans="1:17" s="409" customFormat="1" ht="111.6" customHeight="1" thickBot="1">
      <c r="A106" s="1263" t="s">
        <v>13</v>
      </c>
      <c r="B106" s="1264"/>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2">
        <v>6365</v>
      </c>
      <c r="E107" s="862">
        <v>0</v>
      </c>
      <c r="F107" s="405">
        <f t="shared" si="1"/>
        <v>6365</v>
      </c>
      <c r="G107" s="406"/>
      <c r="H107" s="406"/>
      <c r="I107" s="406"/>
      <c r="J107" s="406"/>
      <c r="K107" s="406"/>
      <c r="L107" s="406"/>
      <c r="M107" s="406"/>
      <c r="N107" s="406"/>
      <c r="O107" s="406"/>
      <c r="P107" s="406"/>
      <c r="Q107" s="406"/>
    </row>
    <row r="108" spans="1:17" s="409" customFormat="1" ht="30" customHeight="1">
      <c r="A108" s="410" t="s">
        <v>371</v>
      </c>
      <c r="B108" s="411"/>
      <c r="C108" s="440" t="s">
        <v>181</v>
      </c>
      <c r="D108" s="863">
        <v>5000</v>
      </c>
      <c r="E108" s="863">
        <v>0</v>
      </c>
      <c r="F108" s="413">
        <f t="shared" si="1"/>
        <v>5000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3">
        <v>0</v>
      </c>
      <c r="E109" s="863">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3">
        <v>0</v>
      </c>
      <c r="E110" s="863">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3">
        <v>0</v>
      </c>
      <c r="E111" s="863">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3">
        <v>0</v>
      </c>
      <c r="E112" s="863">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3">
        <v>0</v>
      </c>
      <c r="E113" s="863">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3">
        <v>0</v>
      </c>
      <c r="E114" s="863">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3">
        <v>0</v>
      </c>
      <c r="E115" s="863">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4">
        <v>0</v>
      </c>
      <c r="E116" s="864">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11365</v>
      </c>
      <c r="E117" s="474">
        <f>SUM(E107:E116)</f>
        <v>0</v>
      </c>
      <c r="F117" s="474">
        <f>SUM(D117:E117)</f>
        <v>11365</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4" t="s">
        <v>235</v>
      </c>
      <c r="B119" s="1175"/>
      <c r="C119" s="456"/>
      <c r="D119" s="469">
        <f>+D57+D102+D117</f>
        <v>13420032.750000002</v>
      </c>
      <c r="E119" s="469">
        <f>+E57+E102+E117</f>
        <v>0</v>
      </c>
      <c r="F119" s="469">
        <f>SUM(D119:E119)</f>
        <v>13420032.750000002</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7" customFormat="1" ht="30" customHeight="1" thickBot="1">
      <c r="A121" s="35"/>
      <c r="B121" s="35"/>
      <c r="C121" s="35"/>
      <c r="D121" s="35"/>
      <c r="E121" s="35"/>
      <c r="F121" s="35"/>
    </row>
    <row r="122" spans="1:17" s="409" customFormat="1" ht="116.45" customHeight="1" thickBot="1">
      <c r="A122" s="1265" t="s">
        <v>506</v>
      </c>
      <c r="B122" s="1266"/>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2">
        <v>0</v>
      </c>
      <c r="E123" s="862">
        <v>0</v>
      </c>
      <c r="F123" s="867">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6">
        <f>'EXHIBIT C'!H10</f>
        <v>7848779</v>
      </c>
      <c r="E124" s="863">
        <v>0</v>
      </c>
      <c r="F124" s="413">
        <f t="shared" ref="F124:F134" si="3">+D124+E124</f>
        <v>7848779</v>
      </c>
      <c r="G124" s="462"/>
      <c r="H124" s="462"/>
      <c r="I124" s="462"/>
      <c r="J124" s="462"/>
      <c r="K124" s="462"/>
      <c r="L124" s="462"/>
      <c r="M124" s="462"/>
      <c r="N124" s="462"/>
      <c r="O124" s="462"/>
      <c r="P124" s="462"/>
      <c r="Q124" s="462"/>
    </row>
    <row r="125" spans="1:17" s="463" customFormat="1" ht="30" customHeight="1">
      <c r="A125" s="410" t="s">
        <v>573</v>
      </c>
      <c r="B125" s="464"/>
      <c r="C125" s="465"/>
      <c r="D125" s="866">
        <f>'EXHIBIT C'!F19</f>
        <v>706801</v>
      </c>
      <c r="E125" s="863">
        <v>0</v>
      </c>
      <c r="F125" s="413">
        <f t="shared" si="3"/>
        <v>706801</v>
      </c>
      <c r="G125" s="462"/>
      <c r="H125" s="462"/>
      <c r="I125" s="462"/>
      <c r="J125" s="462"/>
      <c r="K125" s="462"/>
      <c r="L125" s="462"/>
      <c r="M125" s="462"/>
      <c r="N125" s="462"/>
      <c r="O125" s="462"/>
      <c r="P125" s="462"/>
      <c r="Q125" s="462"/>
    </row>
    <row r="126" spans="1:17" s="463" customFormat="1" ht="30" customHeight="1">
      <c r="A126" s="410" t="s">
        <v>270</v>
      </c>
      <c r="B126" s="464"/>
      <c r="C126" s="465"/>
      <c r="D126" s="863">
        <f>1025730+256524+7000+423897+120459.84</f>
        <v>1833610.84</v>
      </c>
      <c r="E126" s="863">
        <v>0</v>
      </c>
      <c r="F126" s="413">
        <f t="shared" si="3"/>
        <v>1833610.84</v>
      </c>
      <c r="G126" s="462"/>
      <c r="H126" s="462"/>
      <c r="I126" s="462"/>
      <c r="J126" s="462"/>
      <c r="K126" s="462"/>
      <c r="L126" s="462"/>
      <c r="M126" s="462"/>
      <c r="N126" s="462"/>
      <c r="O126" s="462"/>
      <c r="P126" s="462"/>
      <c r="Q126" s="462"/>
    </row>
    <row r="127" spans="1:17" s="463" customFormat="1" ht="30" customHeight="1">
      <c r="A127" s="410" t="s">
        <v>271</v>
      </c>
      <c r="B127" s="464"/>
      <c r="C127" s="465"/>
      <c r="D127" s="863">
        <v>0</v>
      </c>
      <c r="E127" s="863">
        <v>0</v>
      </c>
      <c r="F127" s="413">
        <f t="shared" si="3"/>
        <v>0</v>
      </c>
      <c r="G127" s="462"/>
      <c r="H127" s="462"/>
      <c r="I127" s="462"/>
      <c r="J127" s="462"/>
      <c r="K127" s="462"/>
      <c r="L127" s="462"/>
      <c r="M127" s="462"/>
      <c r="N127" s="462"/>
      <c r="O127" s="462"/>
      <c r="P127" s="462"/>
      <c r="Q127" s="462"/>
    </row>
    <row r="128" spans="1:17" s="463" customFormat="1" ht="30" customHeight="1">
      <c r="A128" s="874" t="s">
        <v>725</v>
      </c>
      <c r="B128" s="464"/>
      <c r="C128" s="465"/>
      <c r="D128" s="863">
        <f>377759+5000</f>
        <v>382759</v>
      </c>
      <c r="E128" s="863">
        <v>0</v>
      </c>
      <c r="F128" s="413">
        <f t="shared" si="3"/>
        <v>382759</v>
      </c>
      <c r="G128" s="462"/>
      <c r="H128" s="462"/>
      <c r="I128" s="462"/>
      <c r="J128" s="462"/>
      <c r="K128" s="462"/>
      <c r="L128" s="462"/>
      <c r="M128" s="462"/>
      <c r="N128" s="462"/>
      <c r="O128" s="462"/>
      <c r="P128" s="462"/>
      <c r="Q128" s="462"/>
    </row>
    <row r="129" spans="1:17" s="463" customFormat="1" ht="30" customHeight="1">
      <c r="A129" s="410" t="s">
        <v>456</v>
      </c>
      <c r="B129" s="464"/>
      <c r="C129" s="465"/>
      <c r="D129" s="863">
        <f>2432478.6+7245.31</f>
        <v>2439723.91</v>
      </c>
      <c r="E129" s="863">
        <v>0</v>
      </c>
      <c r="F129" s="413">
        <f t="shared" si="3"/>
        <v>2439723.91</v>
      </c>
      <c r="G129" s="462"/>
      <c r="H129" s="462"/>
      <c r="I129" s="462"/>
      <c r="J129" s="462"/>
      <c r="K129" s="462"/>
      <c r="L129" s="462"/>
      <c r="M129" s="462"/>
      <c r="N129" s="462"/>
      <c r="O129" s="462"/>
      <c r="P129" s="462"/>
      <c r="Q129" s="462"/>
    </row>
    <row r="130" spans="1:17" s="463" customFormat="1" ht="30" customHeight="1">
      <c r="A130" s="410" t="s">
        <v>272</v>
      </c>
      <c r="B130" s="464"/>
      <c r="C130" s="465"/>
      <c r="D130" s="863">
        <v>0</v>
      </c>
      <c r="E130" s="863">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3">
        <v>0</v>
      </c>
      <c r="E131" s="863">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3">
        <v>92882</v>
      </c>
      <c r="E132" s="863">
        <v>0</v>
      </c>
      <c r="F132" s="413">
        <f t="shared" si="3"/>
        <v>92882</v>
      </c>
      <c r="G132" s="462"/>
      <c r="H132" s="462"/>
      <c r="I132" s="462"/>
      <c r="J132" s="462"/>
      <c r="K132" s="462"/>
      <c r="L132" s="462"/>
      <c r="M132" s="462"/>
      <c r="N132" s="462"/>
      <c r="O132" s="462"/>
      <c r="P132" s="462"/>
      <c r="Q132" s="462"/>
    </row>
    <row r="133" spans="1:17" s="463" customFormat="1" ht="30" customHeight="1">
      <c r="A133" s="410" t="s">
        <v>275</v>
      </c>
      <c r="B133" s="464"/>
      <c r="C133" s="465"/>
      <c r="D133" s="863">
        <v>115477</v>
      </c>
      <c r="E133" s="863">
        <v>0</v>
      </c>
      <c r="F133" s="413">
        <f t="shared" si="3"/>
        <v>115477</v>
      </c>
      <c r="G133" s="462"/>
      <c r="H133" s="462"/>
      <c r="I133" s="462"/>
      <c r="J133" s="462"/>
      <c r="K133" s="462"/>
      <c r="L133" s="462"/>
      <c r="M133" s="462"/>
      <c r="N133" s="462"/>
      <c r="O133" s="462"/>
      <c r="P133" s="462"/>
      <c r="Q133" s="462"/>
    </row>
    <row r="134" spans="1:17" s="463" customFormat="1" ht="30" customHeight="1" thickBot="1">
      <c r="A134" s="415" t="s">
        <v>276</v>
      </c>
      <c r="B134" s="444"/>
      <c r="C134" s="455"/>
      <c r="D134" s="864">
        <v>0</v>
      </c>
      <c r="E134" s="864">
        <v>0</v>
      </c>
      <c r="F134" s="418">
        <f t="shared" si="3"/>
        <v>0</v>
      </c>
      <c r="G134" s="462"/>
      <c r="H134" s="462"/>
      <c r="I134" s="462"/>
      <c r="J134" s="462"/>
      <c r="K134" s="462"/>
      <c r="L134" s="462"/>
      <c r="M134" s="462"/>
      <c r="N134" s="462"/>
      <c r="O134" s="462"/>
      <c r="P134" s="462"/>
      <c r="Q134" s="462"/>
    </row>
    <row r="135" spans="1:17" ht="30" customHeight="1" thickBot="1">
      <c r="A135" s="1172" t="s">
        <v>267</v>
      </c>
      <c r="B135" s="1173"/>
      <c r="C135" s="456"/>
      <c r="D135" s="457">
        <f>SUM(D123:D134)</f>
        <v>13420032.75</v>
      </c>
      <c r="E135" s="458">
        <f>SUM(E123:E134)</f>
        <v>0</v>
      </c>
      <c r="F135" s="459">
        <f>SUM(F123:F134)</f>
        <v>13420032.75</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78" customHeight="1">
      <c r="A137" s="1267" t="s">
        <v>720</v>
      </c>
      <c r="B137" s="1267"/>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6" t="s">
        <v>719</v>
      </c>
      <c r="B139" s="409"/>
      <c r="C139" s="409"/>
      <c r="D139" s="450"/>
      <c r="E139" s="450"/>
      <c r="F139" s="451"/>
      <c r="G139" s="443"/>
      <c r="H139" s="443"/>
      <c r="I139" s="443"/>
      <c r="J139" s="443"/>
      <c r="K139" s="443"/>
      <c r="L139" s="443"/>
      <c r="M139" s="443"/>
      <c r="N139" s="443"/>
      <c r="O139" s="443"/>
      <c r="P139" s="443"/>
      <c r="Q139" s="443"/>
    </row>
    <row r="140" spans="1:17" ht="30" customHeight="1">
      <c r="A140" s="1164"/>
      <c r="B140" s="1165"/>
      <c r="C140" s="1165"/>
      <c r="D140" s="1165"/>
      <c r="E140" s="1165"/>
      <c r="F140" s="1166"/>
      <c r="G140" s="443"/>
      <c r="H140" s="443"/>
      <c r="I140" s="443"/>
      <c r="J140" s="443"/>
      <c r="K140" s="443"/>
      <c r="L140" s="443"/>
      <c r="M140" s="443"/>
      <c r="N140" s="443"/>
      <c r="O140" s="443"/>
      <c r="P140" s="443"/>
      <c r="Q140" s="443"/>
    </row>
    <row r="141" spans="1:17" ht="30" customHeight="1">
      <c r="A141" s="1167"/>
      <c r="B141" s="1090"/>
      <c r="C141" s="1090"/>
      <c r="D141" s="1090"/>
      <c r="E141" s="1090"/>
      <c r="F141" s="1168"/>
      <c r="G141" s="443"/>
      <c r="H141" s="443"/>
      <c r="I141" s="443"/>
      <c r="J141" s="443"/>
      <c r="K141" s="443"/>
      <c r="L141" s="443"/>
      <c r="M141" s="443"/>
      <c r="N141" s="443"/>
      <c r="O141" s="443"/>
      <c r="P141" s="443"/>
      <c r="Q141" s="443"/>
    </row>
    <row r="142" spans="1:17" ht="30" customHeight="1">
      <c r="A142" s="1167"/>
      <c r="B142" s="1090"/>
      <c r="C142" s="1090"/>
      <c r="D142" s="1090"/>
      <c r="E142" s="1090"/>
      <c r="F142" s="1168"/>
      <c r="G142" s="443"/>
      <c r="H142" s="443"/>
      <c r="I142" s="443"/>
      <c r="J142" s="443"/>
      <c r="K142" s="443"/>
      <c r="L142" s="443"/>
      <c r="M142" s="443"/>
      <c r="N142" s="443"/>
      <c r="O142" s="443"/>
      <c r="P142" s="443"/>
      <c r="Q142" s="443"/>
    </row>
    <row r="143" spans="1:17" ht="30" customHeight="1">
      <c r="A143" s="1167"/>
      <c r="B143" s="1090"/>
      <c r="C143" s="1090"/>
      <c r="D143" s="1090"/>
      <c r="E143" s="1090"/>
      <c r="F143" s="1168"/>
      <c r="G143" s="443"/>
      <c r="H143" s="443"/>
      <c r="I143" s="443"/>
      <c r="J143" s="443"/>
      <c r="K143" s="443"/>
      <c r="L143" s="443"/>
      <c r="M143" s="443"/>
      <c r="N143" s="443"/>
      <c r="O143" s="443"/>
      <c r="P143" s="443"/>
      <c r="Q143" s="443"/>
    </row>
    <row r="144" spans="1:17" ht="30" customHeight="1">
      <c r="A144" s="1167"/>
      <c r="B144" s="1090"/>
      <c r="C144" s="1090"/>
      <c r="D144" s="1090"/>
      <c r="E144" s="1090"/>
      <c r="F144" s="1168"/>
      <c r="G144" s="443"/>
      <c r="H144" s="443"/>
      <c r="I144" s="443"/>
      <c r="J144" s="443"/>
      <c r="K144" s="443"/>
      <c r="L144" s="443"/>
      <c r="M144" s="443"/>
      <c r="N144" s="443"/>
      <c r="O144" s="443"/>
      <c r="P144" s="443"/>
      <c r="Q144" s="443"/>
    </row>
    <row r="145" spans="1:17" ht="30" customHeight="1">
      <c r="A145" s="1167"/>
      <c r="B145" s="1090"/>
      <c r="C145" s="1090"/>
      <c r="D145" s="1090"/>
      <c r="E145" s="1090"/>
      <c r="F145" s="1168"/>
      <c r="G145" s="443"/>
      <c r="H145" s="443"/>
      <c r="I145" s="443"/>
      <c r="J145" s="443"/>
      <c r="K145" s="443"/>
      <c r="L145" s="443"/>
      <c r="M145" s="443"/>
      <c r="N145" s="443"/>
      <c r="O145" s="443"/>
      <c r="P145" s="443"/>
      <c r="Q145" s="443"/>
    </row>
    <row r="146" spans="1:17" ht="30" customHeight="1" thickBot="1">
      <c r="A146" s="1169"/>
      <c r="B146" s="1170"/>
      <c r="C146" s="1170"/>
      <c r="D146" s="1170"/>
      <c r="E146" s="1170"/>
      <c r="F146" s="1171"/>
      <c r="G146" s="443"/>
      <c r="H146" s="443"/>
      <c r="I146" s="443"/>
      <c r="J146" s="443"/>
      <c r="K146" s="443"/>
      <c r="L146" s="443"/>
      <c r="M146" s="443"/>
      <c r="N146" s="443"/>
      <c r="O146" s="443"/>
      <c r="P146" s="443"/>
      <c r="Q146" s="443"/>
    </row>
    <row r="147" spans="1:17" ht="30" customHeight="1">
      <c r="A147" s="870"/>
      <c r="B147" s="870"/>
      <c r="C147" s="870"/>
      <c r="D147" s="870"/>
      <c r="E147" s="870"/>
      <c r="F147" s="870"/>
      <c r="G147" s="443"/>
      <c r="H147" s="443"/>
      <c r="I147" s="443"/>
      <c r="J147" s="443"/>
      <c r="K147" s="443"/>
      <c r="L147" s="443"/>
      <c r="M147" s="443"/>
      <c r="N147" s="443"/>
      <c r="O147" s="443"/>
      <c r="P147" s="443"/>
      <c r="Q147" s="443"/>
    </row>
    <row r="148" spans="1:17" ht="27" customHeight="1" thickBot="1">
      <c r="A148" s="876" t="s">
        <v>721</v>
      </c>
      <c r="B148" s="871"/>
      <c r="C148" s="871"/>
      <c r="D148" s="450"/>
      <c r="E148" s="450"/>
      <c r="F148" s="451"/>
      <c r="G148" s="443"/>
      <c r="H148" s="443"/>
      <c r="I148" s="443"/>
      <c r="J148" s="443"/>
      <c r="K148" s="443"/>
      <c r="L148" s="443"/>
      <c r="M148" s="443"/>
      <c r="N148" s="443"/>
      <c r="O148" s="443"/>
      <c r="P148" s="443"/>
      <c r="Q148" s="443"/>
    </row>
    <row r="149" spans="1:17" ht="30" customHeight="1">
      <c r="A149" s="1164" t="s">
        <v>792</v>
      </c>
      <c r="B149" s="1165"/>
      <c r="C149" s="1165"/>
      <c r="D149" s="1165"/>
      <c r="E149" s="1165"/>
      <c r="F149" s="1166"/>
      <c r="G149" s="443"/>
      <c r="H149" s="443"/>
      <c r="I149" s="443"/>
      <c r="J149" s="443"/>
      <c r="K149" s="443"/>
      <c r="L149" s="443"/>
      <c r="M149" s="443"/>
      <c r="N149" s="443"/>
      <c r="O149" s="443"/>
      <c r="P149" s="443"/>
      <c r="Q149" s="443"/>
    </row>
    <row r="150" spans="1:17" ht="30" customHeight="1">
      <c r="A150" s="1167"/>
      <c r="B150" s="1090"/>
      <c r="C150" s="1090"/>
      <c r="D150" s="1090"/>
      <c r="E150" s="1090"/>
      <c r="F150" s="1168"/>
      <c r="G150" s="443"/>
      <c r="H150" s="443"/>
      <c r="I150" s="443"/>
      <c r="J150" s="443"/>
      <c r="K150" s="443"/>
      <c r="L150" s="443"/>
      <c r="M150" s="443"/>
      <c r="N150" s="443"/>
      <c r="O150" s="443"/>
      <c r="P150" s="443"/>
      <c r="Q150" s="443"/>
    </row>
    <row r="151" spans="1:17" ht="30" customHeight="1">
      <c r="A151" s="1167"/>
      <c r="B151" s="1090"/>
      <c r="C151" s="1090"/>
      <c r="D151" s="1090"/>
      <c r="E151" s="1090"/>
      <c r="F151" s="1168"/>
      <c r="G151" s="443"/>
      <c r="H151" s="443"/>
      <c r="I151" s="443"/>
      <c r="J151" s="443"/>
      <c r="K151" s="443"/>
      <c r="L151" s="443"/>
      <c r="M151" s="443"/>
      <c r="N151" s="443"/>
      <c r="O151" s="443"/>
      <c r="P151" s="443"/>
      <c r="Q151" s="443"/>
    </row>
    <row r="152" spans="1:17" ht="30" customHeight="1">
      <c r="A152" s="1167"/>
      <c r="B152" s="1090"/>
      <c r="C152" s="1090"/>
      <c r="D152" s="1090"/>
      <c r="E152" s="1090"/>
      <c r="F152" s="1168"/>
      <c r="G152" s="443"/>
      <c r="H152" s="443"/>
      <c r="I152" s="443"/>
      <c r="J152" s="443"/>
      <c r="K152" s="443"/>
      <c r="L152" s="443"/>
      <c r="M152" s="443"/>
      <c r="N152" s="443"/>
      <c r="O152" s="443"/>
      <c r="P152" s="443"/>
      <c r="Q152" s="443"/>
    </row>
    <row r="153" spans="1:17" ht="30" customHeight="1">
      <c r="A153" s="1167"/>
      <c r="B153" s="1090"/>
      <c r="C153" s="1090"/>
      <c r="D153" s="1090"/>
      <c r="E153" s="1090"/>
      <c r="F153" s="1168"/>
      <c r="G153" s="443"/>
      <c r="H153" s="443"/>
      <c r="I153" s="443"/>
      <c r="J153" s="443"/>
      <c r="K153" s="443"/>
      <c r="L153" s="443"/>
      <c r="M153" s="443"/>
      <c r="N153" s="443"/>
      <c r="O153" s="443"/>
      <c r="P153" s="443"/>
      <c r="Q153" s="443"/>
    </row>
    <row r="154" spans="1:17" ht="30" customHeight="1">
      <c r="A154" s="1167"/>
      <c r="B154" s="1090"/>
      <c r="C154" s="1090"/>
      <c r="D154" s="1090"/>
      <c r="E154" s="1090"/>
      <c r="F154" s="1168"/>
      <c r="G154" s="443"/>
      <c r="H154" s="443"/>
      <c r="I154" s="443"/>
      <c r="J154" s="443"/>
      <c r="K154" s="443"/>
      <c r="L154" s="443"/>
      <c r="M154" s="443"/>
      <c r="N154" s="443"/>
      <c r="O154" s="443"/>
      <c r="P154" s="443"/>
      <c r="Q154" s="443"/>
    </row>
    <row r="155" spans="1:17" ht="30" customHeight="1" thickBot="1">
      <c r="A155" s="1169"/>
      <c r="B155" s="1170"/>
      <c r="C155" s="1170"/>
      <c r="D155" s="1170"/>
      <c r="E155" s="1170"/>
      <c r="F155" s="1171"/>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GmCysw8iN0WYDF83peF4pfCwvjAO0Kj1ctGt4xOHgXtKmcEnQ24x6vMkzqZqGPeWD4fYUu802Hj3l4udivxfag==" saltValue="bEf/Xqkj6lCtmRE3INSLq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K79" sqref="K79"/>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17" t="s">
        <v>259</v>
      </c>
      <c r="C1" s="1117"/>
      <c r="D1" s="1117"/>
      <c r="E1" s="1117"/>
      <c r="F1" s="480"/>
      <c r="G1" s="480"/>
    </row>
    <row r="2" spans="2:7" ht="26.25">
      <c r="B2" s="1117" t="s">
        <v>779</v>
      </c>
      <c r="C2" s="1117"/>
      <c r="D2" s="1117"/>
      <c r="E2" s="1117"/>
      <c r="F2" s="480"/>
      <c r="G2" s="480"/>
    </row>
    <row r="3" spans="2:7" ht="21">
      <c r="B3" s="1108"/>
      <c r="C3" s="1108"/>
      <c r="D3" s="1108"/>
      <c r="E3" s="1108"/>
      <c r="F3" s="480"/>
      <c r="G3" s="480"/>
    </row>
    <row r="4" spans="2:7" ht="21.75" thickBot="1">
      <c r="B4" s="1187"/>
      <c r="C4" s="1187"/>
      <c r="D4" s="1187"/>
      <c r="E4" s="1187"/>
      <c r="F4" s="480"/>
      <c r="G4" s="480"/>
    </row>
    <row r="5" spans="2:7" ht="56.25" customHeight="1">
      <c r="B5" s="1182" t="s">
        <v>663</v>
      </c>
      <c r="C5" s="1271" t="s">
        <v>464</v>
      </c>
      <c r="D5" s="1272"/>
      <c r="E5" s="1273"/>
    </row>
    <row r="6" spans="2:7">
      <c r="B6" s="1183"/>
      <c r="C6" s="1185" t="s">
        <v>465</v>
      </c>
      <c r="D6" s="482" t="s">
        <v>466</v>
      </c>
      <c r="E6" s="483" t="s">
        <v>467</v>
      </c>
    </row>
    <row r="7" spans="2:7" ht="29.25" customHeight="1">
      <c r="B7" s="1184"/>
      <c r="C7" s="1186"/>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7"/>
    </row>
    <row r="12" spans="2:7" ht="15" customHeight="1">
      <c r="B12" s="493" t="s">
        <v>604</v>
      </c>
      <c r="C12" s="494"/>
      <c r="D12" s="494"/>
      <c r="E12" s="495"/>
    </row>
    <row r="13" spans="2:7" ht="56.25" customHeight="1">
      <c r="B13" s="1188" t="s">
        <v>664</v>
      </c>
      <c r="C13" s="1274" t="s">
        <v>464</v>
      </c>
      <c r="D13" s="1275"/>
      <c r="E13" s="1276"/>
    </row>
    <row r="14" spans="2:7">
      <c r="B14" s="1183"/>
      <c r="C14" s="1185" t="s">
        <v>465</v>
      </c>
      <c r="D14" s="496" t="s">
        <v>466</v>
      </c>
      <c r="E14" s="497" t="s">
        <v>467</v>
      </c>
    </row>
    <row r="15" spans="2:7">
      <c r="B15" s="1184"/>
      <c r="C15" s="1186"/>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89" t="s">
        <v>665</v>
      </c>
      <c r="C23" s="1277" t="s">
        <v>464</v>
      </c>
      <c r="D23" s="1278"/>
      <c r="E23" s="1279"/>
    </row>
    <row r="24" spans="2:5">
      <c r="B24" s="1190"/>
      <c r="C24" s="1185" t="s">
        <v>465</v>
      </c>
      <c r="D24" s="507" t="s">
        <v>466</v>
      </c>
      <c r="E24" s="508" t="s">
        <v>467</v>
      </c>
    </row>
    <row r="25" spans="2:5">
      <c r="B25" s="1191"/>
      <c r="C25" s="1186"/>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2" t="s">
        <v>666</v>
      </c>
      <c r="C31" s="1280" t="s">
        <v>464</v>
      </c>
      <c r="D31" s="1281"/>
      <c r="E31" s="1282"/>
    </row>
    <row r="32" spans="2:5">
      <c r="B32" s="1193"/>
      <c r="C32" s="1185" t="s">
        <v>465</v>
      </c>
      <c r="D32" s="482" t="s">
        <v>466</v>
      </c>
      <c r="E32" s="508" t="s">
        <v>467</v>
      </c>
    </row>
    <row r="33" spans="2:7">
      <c r="B33" s="1194"/>
      <c r="C33" s="1186"/>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5" t="s">
        <v>471</v>
      </c>
      <c r="C42" s="1195"/>
      <c r="D42" s="1195"/>
      <c r="E42" s="1195"/>
    </row>
    <row r="43" spans="2:7">
      <c r="B43" s="1195"/>
      <c r="C43" s="1195"/>
      <c r="D43" s="1195"/>
      <c r="E43" s="1195"/>
    </row>
    <row r="44" spans="2:7">
      <c r="B44" s="525"/>
      <c r="C44" s="525"/>
      <c r="D44" s="525"/>
      <c r="E44" s="525"/>
    </row>
    <row r="45" spans="2:7">
      <c r="B45" s="526" t="s">
        <v>667</v>
      </c>
      <c r="C45" s="527"/>
      <c r="D45" s="527"/>
      <c r="E45" s="527"/>
    </row>
    <row r="46" spans="2:7">
      <c r="B46" s="528" t="str">
        <f>"the maximum tuition rate.  Maximum credit tuition rate = "&amp;TEXT(E16,"$0.00")</f>
        <v>the maximum tuition rate.  Maximum credit tuition rate = $82.78</v>
      </c>
      <c r="C46" s="1268"/>
      <c r="D46" s="526"/>
      <c r="E46" s="526"/>
    </row>
    <row r="47" spans="2:7">
      <c r="B47" s="528" t="s">
        <v>553</v>
      </c>
      <c r="D47" s="526"/>
      <c r="E47" s="526"/>
      <c r="G47" s="1269"/>
    </row>
    <row r="48" spans="2:7">
      <c r="D48" s="526"/>
      <c r="E48" s="526"/>
    </row>
    <row r="49" spans="2:5" ht="15" customHeight="1">
      <c r="B49" s="1195"/>
      <c r="C49" s="1195"/>
      <c r="D49" s="1195"/>
      <c r="E49" s="1195"/>
    </row>
    <row r="50" spans="2:5">
      <c r="B50" s="1195"/>
      <c r="C50" s="1195"/>
      <c r="D50" s="1195"/>
      <c r="E50" s="1195"/>
    </row>
    <row r="51" spans="2:5">
      <c r="B51" s="1195"/>
      <c r="C51" s="1195"/>
      <c r="D51" s="1195"/>
      <c r="E51" s="1195"/>
    </row>
    <row r="52" spans="2:5" ht="21">
      <c r="B52" s="1108" t="str">
        <f>B1</f>
        <v>THE FLORIDA COLLEGE SYSTEM</v>
      </c>
      <c r="C52" s="1108"/>
      <c r="D52" s="1108"/>
      <c r="E52" s="1108"/>
    </row>
    <row r="53" spans="2:5" ht="21">
      <c r="B53" s="1108" t="str">
        <f>B2&amp;" , cont."</f>
        <v>FALL 2019-20 TUITION INCREASED BY 0% , cont.</v>
      </c>
      <c r="C53" s="1108"/>
      <c r="D53" s="1108"/>
      <c r="E53" s="1108"/>
    </row>
    <row r="54" spans="2:5" ht="21">
      <c r="B54" s="1108"/>
      <c r="C54" s="1108"/>
      <c r="D54" s="1108"/>
      <c r="E54" s="1108"/>
    </row>
    <row r="55" spans="2:5" ht="16.5" thickBot="1">
      <c r="B55" s="505"/>
      <c r="C55" s="522"/>
      <c r="D55" s="522"/>
      <c r="E55" s="522"/>
    </row>
    <row r="56" spans="2:5" ht="33" customHeight="1">
      <c r="B56" s="1200" t="s">
        <v>638</v>
      </c>
      <c r="C56" s="1277" t="s">
        <v>464</v>
      </c>
      <c r="D56" s="1278"/>
      <c r="E56" s="1279"/>
    </row>
    <row r="57" spans="2:5">
      <c r="B57" s="1201"/>
      <c r="C57" s="1185" t="s">
        <v>465</v>
      </c>
      <c r="D57" s="482" t="s">
        <v>466</v>
      </c>
      <c r="E57" s="508" t="s">
        <v>467</v>
      </c>
    </row>
    <row r="58" spans="2:5">
      <c r="B58" s="1202"/>
      <c r="C58" s="1186"/>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03" t="s">
        <v>639</v>
      </c>
      <c r="C63" s="1274" t="s">
        <v>464</v>
      </c>
      <c r="D63" s="1275"/>
      <c r="E63" s="1283"/>
    </row>
    <row r="64" spans="2:5">
      <c r="B64" s="1201"/>
      <c r="C64" s="1185" t="s">
        <v>465</v>
      </c>
      <c r="D64" s="482" t="s">
        <v>466</v>
      </c>
      <c r="E64" s="508" t="s">
        <v>467</v>
      </c>
    </row>
    <row r="65" spans="2:16">
      <c r="B65" s="1202"/>
      <c r="C65" s="1186"/>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96" t="s">
        <v>523</v>
      </c>
      <c r="C72" s="1277" t="s">
        <v>622</v>
      </c>
      <c r="D72" s="1278"/>
      <c r="E72" s="1279"/>
    </row>
    <row r="73" spans="2:16">
      <c r="B73" s="1197"/>
      <c r="C73" s="1185" t="s">
        <v>465</v>
      </c>
      <c r="D73" s="534" t="s">
        <v>466</v>
      </c>
      <c r="E73" s="535" t="s">
        <v>467</v>
      </c>
    </row>
    <row r="74" spans="2:16">
      <c r="B74" s="1198"/>
      <c r="C74" s="1199"/>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1"/>
      <c r="G76" s="1181"/>
      <c r="H76" s="1181"/>
      <c r="I76" s="1181"/>
      <c r="J76" s="1181"/>
      <c r="K76" s="1181"/>
      <c r="L76" s="1181"/>
      <c r="M76" s="1181"/>
      <c r="N76" s="1181"/>
      <c r="O76" s="1181"/>
      <c r="P76" s="1181"/>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1"/>
      <c r="G78" s="1181"/>
      <c r="H78" s="1181"/>
      <c r="I78" s="1181"/>
      <c r="J78" s="1181"/>
      <c r="K78" s="1181"/>
      <c r="L78" s="1181"/>
      <c r="M78" s="1181"/>
      <c r="N78" s="1181"/>
      <c r="O78" s="1181"/>
      <c r="P78" s="1181"/>
    </row>
    <row r="79" spans="2:16" ht="15" customHeight="1">
      <c r="B79" s="523" t="s">
        <v>474</v>
      </c>
      <c r="C79" s="524"/>
      <c r="D79" s="524"/>
      <c r="E79" s="524"/>
    </row>
    <row r="80" spans="2:16" ht="15" customHeight="1">
      <c r="B80" s="523"/>
      <c r="C80" s="524"/>
      <c r="D80" s="524"/>
      <c r="E80" s="524"/>
    </row>
    <row r="81" spans="2:5" ht="30.6" customHeight="1">
      <c r="B81" s="1204" t="s">
        <v>603</v>
      </c>
      <c r="C81" s="1204"/>
      <c r="D81" s="1204"/>
      <c r="E81" s="1204"/>
    </row>
    <row r="83" spans="2:5" ht="15" customHeight="1"/>
    <row r="85" spans="2:5">
      <c r="B85" s="526"/>
      <c r="C85" s="1270"/>
      <c r="D85" s="1270"/>
      <c r="E85" s="1270"/>
    </row>
    <row r="86" spans="2:5">
      <c r="B86" s="526"/>
      <c r="C86" s="527"/>
      <c r="D86" s="527"/>
      <c r="E86" s="527"/>
    </row>
    <row r="87" spans="2:5">
      <c r="B87" s="526"/>
      <c r="C87" s="1268"/>
      <c r="D87" s="526"/>
      <c r="E87" s="526"/>
    </row>
    <row r="88" spans="2:5">
      <c r="B88" s="526"/>
      <c r="C88" s="1268"/>
      <c r="D88" s="526"/>
      <c r="E88" s="526"/>
    </row>
    <row r="89" spans="2:5">
      <c r="B89" s="526"/>
      <c r="C89" s="526"/>
      <c r="D89" s="526"/>
      <c r="E89" s="526"/>
    </row>
    <row r="90" spans="2:5">
      <c r="B90" s="526"/>
      <c r="C90" s="526"/>
      <c r="D90" s="526"/>
      <c r="E90" s="526"/>
    </row>
    <row r="91" spans="2:5">
      <c r="B91" s="1187"/>
      <c r="C91" s="1187"/>
      <c r="D91" s="1187"/>
      <c r="E91" s="1187"/>
    </row>
    <row r="92" spans="2:5">
      <c r="B92" s="1187"/>
      <c r="C92" s="1187"/>
      <c r="D92" s="1187"/>
      <c r="E92" s="1187"/>
    </row>
  </sheetData>
  <sheetProtection algorithmName="SHA-512" hashValue="CdsrOToGYxnYcDrX/19MfABte9h8n52VBwKS5FTBcgKKPgyybwi0w17mFxAtfofx3RZZFsS+oG1Qfd87sRuoxQ==" saltValue="52BkdanAU7cZ3NNuQX09W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F30" sqref="F3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6" t="s">
        <v>259</v>
      </c>
      <c r="B1" s="1236"/>
      <c r="C1" s="1236"/>
    </row>
    <row r="2" spans="1:21" s="141" customFormat="1" ht="21" customHeight="1" thickBot="1">
      <c r="A2" s="1236" t="s">
        <v>778</v>
      </c>
      <c r="B2" s="1236"/>
      <c r="C2" s="1236"/>
      <c r="D2" s="142"/>
      <c r="E2" s="142"/>
      <c r="F2" s="142"/>
      <c r="G2" s="142"/>
      <c r="H2" s="142"/>
      <c r="I2" s="142"/>
      <c r="J2" s="142"/>
      <c r="K2" s="142"/>
      <c r="L2" s="142"/>
      <c r="M2" s="142"/>
      <c r="N2" s="142"/>
      <c r="O2" s="142"/>
      <c r="P2" s="142"/>
      <c r="Q2" s="142"/>
      <c r="R2" s="142"/>
      <c r="S2" s="142"/>
      <c r="T2" s="142"/>
      <c r="U2" s="142"/>
    </row>
    <row r="3" spans="1:21" s="141" customFormat="1" ht="26.45" customHeight="1">
      <c r="A3" s="1284" t="s">
        <v>411</v>
      </c>
      <c r="B3" s="1285"/>
      <c r="C3" s="1286"/>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87" t="s">
        <v>415</v>
      </c>
      <c r="B7" s="1288"/>
      <c r="C7" s="1289"/>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87" t="s">
        <v>417</v>
      </c>
      <c r="B11" s="1288"/>
      <c r="C11" s="1289"/>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87" t="s">
        <v>423</v>
      </c>
      <c r="B17" s="1288"/>
      <c r="C17" s="1289"/>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87" t="s">
        <v>426</v>
      </c>
      <c r="B20" s="1288"/>
      <c r="C20" s="1289"/>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87" t="s">
        <v>427</v>
      </c>
      <c r="B23" s="1288"/>
      <c r="C23" s="1289"/>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87" t="s">
        <v>428</v>
      </c>
      <c r="B26" s="1288"/>
      <c r="C26" s="1289"/>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0" t="s">
        <v>641</v>
      </c>
      <c r="B30" s="1290"/>
      <c r="C30" s="1290"/>
    </row>
    <row r="31" spans="1:21" ht="14.45" customHeight="1"/>
    <row r="32" spans="1:21" ht="31.15" customHeight="1">
      <c r="A32" s="1290" t="s">
        <v>642</v>
      </c>
      <c r="B32" s="1290"/>
      <c r="C32" s="1290"/>
    </row>
    <row r="33" spans="1:3" ht="14.45" customHeight="1"/>
    <row r="34" spans="1:3" ht="30" customHeight="1">
      <c r="A34" s="1290" t="s">
        <v>643</v>
      </c>
      <c r="B34" s="1290"/>
      <c r="C34" s="1290"/>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112" zoomScaleNormal="112" workbookViewId="0">
      <selection activeCell="M8" sqref="M8"/>
    </sheetView>
  </sheetViews>
  <sheetFormatPr defaultRowHeight="12.75"/>
  <sheetData>
    <row r="1" spans="1:10" ht="22.15" customHeight="1">
      <c r="A1" s="1205" t="s">
        <v>259</v>
      </c>
      <c r="B1" s="1205"/>
      <c r="C1" s="1205"/>
      <c r="D1" s="1205"/>
      <c r="E1" s="1205"/>
      <c r="F1" s="1205"/>
      <c r="G1" s="1205"/>
      <c r="H1" s="1205"/>
      <c r="I1" s="1205"/>
      <c r="J1" s="1205"/>
    </row>
    <row r="2" spans="1:10" s="320" customFormat="1" ht="22.15" customHeight="1">
      <c r="A2" s="1205" t="s">
        <v>785</v>
      </c>
      <c r="B2" s="1205"/>
      <c r="C2" s="1205"/>
      <c r="D2" s="1205"/>
      <c r="E2" s="1205"/>
      <c r="F2" s="1205"/>
      <c r="G2" s="1205"/>
      <c r="H2" s="1205"/>
      <c r="I2" s="1205"/>
      <c r="J2" s="1205"/>
    </row>
    <row r="3" spans="1:10" s="320" customFormat="1" ht="22.15" customHeight="1">
      <c r="A3" s="1205" t="s">
        <v>724</v>
      </c>
      <c r="B3" s="1205"/>
      <c r="C3" s="1205"/>
      <c r="D3" s="1205"/>
      <c r="E3" s="1205"/>
      <c r="F3" s="1205"/>
      <c r="G3" s="1205"/>
      <c r="H3" s="1205"/>
      <c r="I3" s="1205"/>
      <c r="J3" s="1205"/>
    </row>
    <row r="4" spans="1:10" ht="26.45" customHeight="1">
      <c r="A4" s="1206" t="s">
        <v>657</v>
      </c>
      <c r="B4" s="1206"/>
      <c r="C4" s="1206"/>
      <c r="D4" s="1206"/>
      <c r="E4" s="1206"/>
      <c r="F4" s="1206"/>
      <c r="G4" s="1206"/>
      <c r="H4" s="1206"/>
      <c r="I4" s="1206"/>
      <c r="J4" s="1206"/>
    </row>
    <row r="5" spans="1:10">
      <c r="A5" s="1207"/>
      <c r="B5" s="1207"/>
      <c r="C5" s="1207"/>
      <c r="D5" s="1207"/>
      <c r="E5" s="1207"/>
      <c r="F5" s="1207"/>
      <c r="G5" s="1207"/>
      <c r="H5" s="1207"/>
      <c r="I5" s="1207"/>
      <c r="J5" s="1207"/>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561975</xdr:colOff>
                <xdr:row>51</xdr:row>
                <xdr:rowOff>85725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39" t="s">
        <v>715</v>
      </c>
      <c r="B1" s="1339"/>
      <c r="C1" s="1339"/>
      <c r="D1" s="1339"/>
      <c r="E1" s="27"/>
      <c r="F1" s="28"/>
    </row>
    <row r="2" spans="1:10" ht="33.6" customHeight="1" thickBot="1">
      <c r="A2" s="1346" t="s">
        <v>722</v>
      </c>
      <c r="B2" s="1346"/>
      <c r="C2" s="1346"/>
      <c r="D2" s="1346"/>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3" t="s">
        <v>739</v>
      </c>
      <c r="C5" s="1314"/>
      <c r="D5" s="1315"/>
      <c r="F5" s="31"/>
    </row>
    <row r="6" spans="1:10" ht="88.9" customHeight="1" thickBot="1">
      <c r="A6" s="783" t="s">
        <v>602</v>
      </c>
      <c r="B6" s="108" t="s">
        <v>616</v>
      </c>
      <c r="C6" s="124" t="s">
        <v>625</v>
      </c>
      <c r="D6" s="123" t="s">
        <v>380</v>
      </c>
      <c r="E6" s="35"/>
      <c r="F6" s="31"/>
    </row>
    <row r="7" spans="1:10" ht="25.15" customHeight="1">
      <c r="A7" s="782" t="s">
        <v>677</v>
      </c>
      <c r="B7" s="914">
        <v>37403146</v>
      </c>
      <c r="C7" s="915">
        <v>5848489</v>
      </c>
      <c r="D7" s="135">
        <f t="shared" ref="D7:D34" si="0">SUM(B7:C7)</f>
        <v>43251635</v>
      </c>
      <c r="E7" s="818"/>
      <c r="F7" s="819"/>
      <c r="G7" s="77"/>
      <c r="I7" s="77"/>
      <c r="J7" s="77"/>
    </row>
    <row r="8" spans="1:10" ht="25.15" customHeight="1">
      <c r="A8" s="746" t="s">
        <v>678</v>
      </c>
      <c r="B8" s="916">
        <v>77562386</v>
      </c>
      <c r="C8" s="916">
        <v>11567298</v>
      </c>
      <c r="D8" s="121">
        <f t="shared" si="0"/>
        <v>89129684</v>
      </c>
      <c r="E8" s="789"/>
      <c r="F8" s="77"/>
      <c r="G8" s="77"/>
      <c r="I8" s="77"/>
      <c r="J8" s="77"/>
    </row>
    <row r="9" spans="1:10" ht="25.15" customHeight="1">
      <c r="A9" s="746" t="s">
        <v>703</v>
      </c>
      <c r="B9" s="916">
        <v>20048295</v>
      </c>
      <c r="C9" s="916">
        <v>3212400</v>
      </c>
      <c r="D9" s="121">
        <f t="shared" si="0"/>
        <v>23260695</v>
      </c>
      <c r="E9" s="789"/>
      <c r="F9" s="77"/>
      <c r="G9" s="77"/>
      <c r="I9" s="77"/>
      <c r="J9" s="77"/>
    </row>
    <row r="10" spans="1:10" ht="25.15" customHeight="1">
      <c r="A10" s="746" t="s">
        <v>679</v>
      </c>
      <c r="B10" s="916">
        <v>9850246</v>
      </c>
      <c r="C10" s="916">
        <v>1992434</v>
      </c>
      <c r="D10" s="121">
        <f t="shared" si="0"/>
        <v>11842680</v>
      </c>
      <c r="E10" s="789"/>
      <c r="F10" s="77"/>
      <c r="G10" s="77"/>
      <c r="I10" s="77"/>
      <c r="J10" s="77"/>
    </row>
    <row r="11" spans="1:10" ht="25.15" customHeight="1">
      <c r="A11" s="746" t="s">
        <v>680</v>
      </c>
      <c r="B11" s="916">
        <v>43355882</v>
      </c>
      <c r="C11" s="916">
        <v>7230079</v>
      </c>
      <c r="D11" s="121">
        <f t="shared" si="0"/>
        <v>50585961</v>
      </c>
      <c r="E11" s="789"/>
      <c r="F11" s="77"/>
      <c r="G11" s="77"/>
      <c r="I11" s="77"/>
      <c r="J11" s="77"/>
    </row>
    <row r="12" spans="1:10" ht="25.15" customHeight="1">
      <c r="A12" s="746" t="s">
        <v>718</v>
      </c>
      <c r="B12" s="916">
        <v>28502585</v>
      </c>
      <c r="C12" s="916">
        <v>4326417</v>
      </c>
      <c r="D12" s="121">
        <f t="shared" si="0"/>
        <v>32829002</v>
      </c>
      <c r="E12" s="789"/>
      <c r="F12" s="77"/>
      <c r="G12" s="77"/>
      <c r="I12" s="77"/>
      <c r="J12" s="77"/>
    </row>
    <row r="13" spans="1:10" ht="25.15" customHeight="1">
      <c r="A13" s="746" t="s">
        <v>681</v>
      </c>
      <c r="B13" s="916">
        <v>66166018</v>
      </c>
      <c r="C13" s="916">
        <v>10713941</v>
      </c>
      <c r="D13" s="121">
        <f t="shared" si="0"/>
        <v>76879959</v>
      </c>
      <c r="E13" s="789"/>
      <c r="F13" s="77"/>
      <c r="G13" s="77"/>
      <c r="I13" s="77"/>
      <c r="J13" s="77"/>
    </row>
    <row r="14" spans="1:10" ht="25.15" customHeight="1">
      <c r="A14" s="746" t="s">
        <v>682</v>
      </c>
      <c r="B14" s="916">
        <v>6467490</v>
      </c>
      <c r="C14" s="916">
        <v>863241</v>
      </c>
      <c r="D14" s="121">
        <f t="shared" si="0"/>
        <v>7330731</v>
      </c>
      <c r="E14" s="789"/>
      <c r="F14" s="77"/>
      <c r="G14" s="77"/>
      <c r="I14" s="77"/>
      <c r="J14" s="77"/>
    </row>
    <row r="15" spans="1:10" ht="25.15" customHeight="1">
      <c r="A15" s="746" t="s">
        <v>683</v>
      </c>
      <c r="B15" s="916">
        <v>19178644</v>
      </c>
      <c r="C15" s="916">
        <v>2925404</v>
      </c>
      <c r="D15" s="121">
        <f t="shared" si="0"/>
        <v>22104048</v>
      </c>
      <c r="E15" s="789"/>
      <c r="F15" s="77"/>
      <c r="G15" s="77"/>
      <c r="I15" s="77"/>
      <c r="J15" s="77"/>
    </row>
    <row r="16" spans="1:10" ht="25.15" customHeight="1">
      <c r="A16" s="746" t="s">
        <v>684</v>
      </c>
      <c r="B16" s="916">
        <v>60095343</v>
      </c>
      <c r="C16" s="916">
        <v>7099525</v>
      </c>
      <c r="D16" s="121">
        <f t="shared" si="0"/>
        <v>67194868</v>
      </c>
      <c r="E16" s="789"/>
      <c r="F16" s="77"/>
      <c r="G16" s="77"/>
      <c r="I16" s="77"/>
      <c r="J16" s="77"/>
    </row>
    <row r="17" spans="1:10" ht="25.15" customHeight="1">
      <c r="A17" s="746" t="s">
        <v>685</v>
      </c>
      <c r="B17" s="916">
        <v>43639668</v>
      </c>
      <c r="C17" s="916">
        <v>6295775</v>
      </c>
      <c r="D17" s="121">
        <f t="shared" si="0"/>
        <v>49935443</v>
      </c>
      <c r="E17" s="789"/>
      <c r="F17" s="77"/>
      <c r="G17" s="77"/>
      <c r="I17" s="77"/>
      <c r="J17" s="77"/>
    </row>
    <row r="18" spans="1:10" ht="25.15" customHeight="1">
      <c r="A18" s="746" t="s">
        <v>686</v>
      </c>
      <c r="B18" s="916">
        <v>12037659</v>
      </c>
      <c r="C18" s="916">
        <v>1862212</v>
      </c>
      <c r="D18" s="121">
        <f t="shared" si="0"/>
        <v>13899871</v>
      </c>
      <c r="E18" s="789"/>
      <c r="F18" s="77"/>
      <c r="G18" s="77"/>
      <c r="I18" s="77"/>
      <c r="J18" s="77"/>
    </row>
    <row r="19" spans="1:10" ht="25.15" customHeight="1">
      <c r="A19" s="746" t="s">
        <v>687</v>
      </c>
      <c r="B19" s="916">
        <v>12706690</v>
      </c>
      <c r="C19" s="916">
        <v>1753669</v>
      </c>
      <c r="D19" s="121">
        <f t="shared" si="0"/>
        <v>14460359</v>
      </c>
      <c r="E19" s="789"/>
      <c r="F19" s="77"/>
      <c r="G19" s="77"/>
      <c r="I19" s="77"/>
      <c r="J19" s="77"/>
    </row>
    <row r="20" spans="1:10" ht="25.15" customHeight="1">
      <c r="A20" s="746" t="s">
        <v>688</v>
      </c>
      <c r="B20" s="916">
        <v>24453310</v>
      </c>
      <c r="C20" s="916">
        <v>2936965</v>
      </c>
      <c r="D20" s="121">
        <f t="shared" si="0"/>
        <v>27390275</v>
      </c>
      <c r="E20" s="789"/>
      <c r="F20" s="77"/>
      <c r="G20" s="77"/>
      <c r="I20" s="77"/>
      <c r="J20" s="77"/>
    </row>
    <row r="21" spans="1:10" ht="25.15" customHeight="1">
      <c r="A21" s="746" t="s">
        <v>689</v>
      </c>
      <c r="B21" s="916">
        <v>150304533</v>
      </c>
      <c r="C21" s="916">
        <v>24106424</v>
      </c>
      <c r="D21" s="121">
        <f t="shared" si="0"/>
        <v>174410957</v>
      </c>
      <c r="E21" s="789"/>
      <c r="F21" s="77"/>
      <c r="G21" s="77"/>
      <c r="I21" s="77"/>
      <c r="J21" s="77"/>
    </row>
    <row r="22" spans="1:10" ht="25.15" customHeight="1">
      <c r="A22" s="746" t="s">
        <v>690</v>
      </c>
      <c r="B22" s="916">
        <v>6931487</v>
      </c>
      <c r="C22" s="916">
        <v>961038</v>
      </c>
      <c r="D22" s="121">
        <f t="shared" si="0"/>
        <v>7892525</v>
      </c>
      <c r="E22" s="789"/>
      <c r="F22" s="77"/>
      <c r="G22" s="77"/>
      <c r="I22" s="77"/>
      <c r="J22" s="77"/>
    </row>
    <row r="23" spans="1:10" ht="25.15" customHeight="1">
      <c r="A23" s="746" t="s">
        <v>691</v>
      </c>
      <c r="B23" s="916">
        <v>16705157</v>
      </c>
      <c r="C23" s="916">
        <v>2654967</v>
      </c>
      <c r="D23" s="121">
        <f t="shared" si="0"/>
        <v>19360124</v>
      </c>
      <c r="E23" s="789"/>
      <c r="F23" s="77"/>
      <c r="G23" s="77"/>
      <c r="I23" s="77"/>
      <c r="J23" s="77"/>
    </row>
    <row r="24" spans="1:10" ht="25.15" customHeight="1">
      <c r="A24" s="746" t="s">
        <v>692</v>
      </c>
      <c r="B24" s="916">
        <v>56172015</v>
      </c>
      <c r="C24" s="916">
        <v>7443097</v>
      </c>
      <c r="D24" s="121">
        <f t="shared" si="0"/>
        <v>63615112</v>
      </c>
      <c r="E24" s="789"/>
      <c r="F24" s="77"/>
      <c r="G24" s="77"/>
      <c r="I24" s="77"/>
      <c r="J24" s="77"/>
    </row>
    <row r="25" spans="1:10" ht="25.15" customHeight="1">
      <c r="A25" s="746" t="s">
        <v>693</v>
      </c>
      <c r="B25" s="916">
        <v>27596410</v>
      </c>
      <c r="C25" s="916">
        <v>3413192</v>
      </c>
      <c r="D25" s="121">
        <f t="shared" si="0"/>
        <v>31009602</v>
      </c>
      <c r="E25" s="789"/>
      <c r="F25" s="77"/>
      <c r="G25" s="77"/>
      <c r="I25" s="77"/>
      <c r="J25" s="77"/>
    </row>
    <row r="26" spans="1:10" ht="25.15" customHeight="1">
      <c r="A26" s="746" t="s">
        <v>694</v>
      </c>
      <c r="B26" s="916">
        <v>31267741</v>
      </c>
      <c r="C26" s="916">
        <v>4686728</v>
      </c>
      <c r="D26" s="121">
        <f t="shared" si="0"/>
        <v>35954469</v>
      </c>
      <c r="E26" s="789"/>
      <c r="F26" s="77"/>
      <c r="G26" s="77"/>
      <c r="I26" s="77"/>
      <c r="J26" s="77"/>
    </row>
    <row r="27" spans="1:10" ht="25.15" customHeight="1">
      <c r="A27" s="746" t="s">
        <v>695</v>
      </c>
      <c r="B27" s="916">
        <v>28160925</v>
      </c>
      <c r="C27" s="916">
        <v>3409431</v>
      </c>
      <c r="D27" s="121">
        <f t="shared" si="0"/>
        <v>31570356</v>
      </c>
      <c r="E27" s="789"/>
      <c r="F27" s="77"/>
      <c r="G27" s="77"/>
      <c r="I27" s="77"/>
      <c r="J27" s="77"/>
    </row>
    <row r="28" spans="1:10" ht="25.15" customHeight="1">
      <c r="A28" s="746" t="s">
        <v>696</v>
      </c>
      <c r="B28" s="916">
        <v>20196356</v>
      </c>
      <c r="C28" s="916">
        <v>2305507</v>
      </c>
      <c r="D28" s="121">
        <f t="shared" si="0"/>
        <v>22501863</v>
      </c>
      <c r="E28" s="789"/>
      <c r="F28" s="77"/>
      <c r="G28" s="77"/>
      <c r="I28" s="77"/>
      <c r="J28" s="77"/>
    </row>
    <row r="29" spans="1:10" ht="25.15" customHeight="1">
      <c r="A29" s="746" t="s">
        <v>697</v>
      </c>
      <c r="B29" s="916">
        <v>60811965</v>
      </c>
      <c r="C29" s="916">
        <v>9443975</v>
      </c>
      <c r="D29" s="121">
        <f t="shared" si="0"/>
        <v>70255940</v>
      </c>
      <c r="E29" s="789"/>
      <c r="F29" s="77"/>
      <c r="G29" s="77"/>
      <c r="I29" s="77"/>
      <c r="J29" s="77"/>
    </row>
    <row r="30" spans="1:10" ht="25.15" customHeight="1">
      <c r="A30" s="746" t="s">
        <v>698</v>
      </c>
      <c r="B30" s="916">
        <v>38844397</v>
      </c>
      <c r="C30" s="916">
        <v>4239042</v>
      </c>
      <c r="D30" s="121">
        <f t="shared" si="0"/>
        <v>43083439</v>
      </c>
      <c r="E30" s="789"/>
      <c r="F30" s="77"/>
      <c r="G30" s="77"/>
      <c r="I30" s="77"/>
      <c r="J30" s="77"/>
    </row>
    <row r="31" spans="1:10" ht="25.15" customHeight="1">
      <c r="A31" s="746" t="s">
        <v>699</v>
      </c>
      <c r="B31" s="916">
        <v>39422813</v>
      </c>
      <c r="C31" s="916">
        <v>4722992</v>
      </c>
      <c r="D31" s="121">
        <f t="shared" si="0"/>
        <v>44145805</v>
      </c>
      <c r="E31" s="789"/>
      <c r="F31" s="77"/>
      <c r="G31" s="77"/>
      <c r="I31" s="77"/>
      <c r="J31" s="77"/>
    </row>
    <row r="32" spans="1:10" ht="25.15" customHeight="1">
      <c r="A32" s="746" t="s">
        <v>700</v>
      </c>
      <c r="B32" s="916">
        <v>14167195</v>
      </c>
      <c r="C32" s="916">
        <v>2181088</v>
      </c>
      <c r="D32" s="121">
        <f t="shared" si="0"/>
        <v>16348283</v>
      </c>
      <c r="E32" s="789"/>
      <c r="F32" s="77"/>
      <c r="G32" s="77"/>
      <c r="I32" s="77" t="s">
        <v>626</v>
      </c>
      <c r="J32" s="77"/>
    </row>
    <row r="33" spans="1:21" ht="25.15" customHeight="1">
      <c r="A33" s="746" t="s">
        <v>701</v>
      </c>
      <c r="B33" s="916">
        <v>28830965</v>
      </c>
      <c r="C33" s="916">
        <v>4320585</v>
      </c>
      <c r="D33" s="121">
        <f t="shared" si="0"/>
        <v>33151550</v>
      </c>
      <c r="E33" s="789"/>
      <c r="F33" s="77"/>
      <c r="G33" s="77"/>
      <c r="I33" s="789"/>
      <c r="J33" s="77"/>
      <c r="K33" s="789"/>
    </row>
    <row r="34" spans="1:21" ht="25.15" customHeight="1" thickBot="1">
      <c r="A34" s="747" t="s">
        <v>702</v>
      </c>
      <c r="B34" s="916">
        <v>79126333</v>
      </c>
      <c r="C34" s="916">
        <v>7703014</v>
      </c>
      <c r="D34" s="122">
        <f t="shared" si="0"/>
        <v>86829347</v>
      </c>
      <c r="E34" s="789"/>
      <c r="F34" s="77"/>
      <c r="G34" s="77"/>
      <c r="I34" s="789"/>
      <c r="J34" s="77"/>
      <c r="K34" s="789"/>
    </row>
    <row r="35" spans="1:21" ht="25.15" customHeight="1" thickBot="1">
      <c r="A35" s="748" t="s">
        <v>2</v>
      </c>
      <c r="B35" s="814">
        <f>SUM(B7:B34)</f>
        <v>1060005654</v>
      </c>
      <c r="C35" s="815">
        <f>SUM(C7:C34)</f>
        <v>150218929</v>
      </c>
      <c r="D35" s="776">
        <f>SUM(D7:D34)</f>
        <v>1210224583</v>
      </c>
      <c r="E35" s="816"/>
      <c r="F35" s="78"/>
      <c r="G35" s="77"/>
      <c r="H35" s="77"/>
      <c r="I35" s="789"/>
      <c r="J35" s="77"/>
      <c r="K35" s="789"/>
      <c r="L35" s="790"/>
    </row>
    <row r="36" spans="1:21" ht="19.149999999999999" customHeight="1">
      <c r="A36" s="1338" t="s">
        <v>729</v>
      </c>
      <c r="B36" s="1338"/>
      <c r="C36" s="1338"/>
      <c r="D36" s="1338"/>
      <c r="E36" s="936"/>
      <c r="F36" s="33"/>
      <c r="K36" s="789"/>
    </row>
    <row r="37" spans="1:21" ht="44.45" customHeight="1">
      <c r="A37" s="1337" t="s">
        <v>752</v>
      </c>
      <c r="B37" s="1337"/>
      <c r="C37" s="1337"/>
      <c r="D37" s="1337"/>
      <c r="E37" s="935"/>
      <c r="F37" s="33"/>
      <c r="K37" s="789"/>
    </row>
    <row r="38" spans="1:21" ht="26.45" customHeight="1">
      <c r="A38" s="932"/>
      <c r="B38" s="932"/>
      <c r="C38" s="932"/>
      <c r="D38" s="932"/>
      <c r="E38" s="935"/>
      <c r="F38" s="33"/>
      <c r="K38" s="789"/>
    </row>
    <row r="39" spans="1:21" ht="36.6" customHeight="1" thickBot="1">
      <c r="A39" s="912" t="s">
        <v>722</v>
      </c>
      <c r="B39" s="913"/>
      <c r="C39" s="913"/>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24" t="str">
        <f>B3</f>
        <v>Date Updated:   05.02.19;    BY:  DRS</v>
      </c>
      <c r="C40" s="1325"/>
      <c r="D40" s="1325"/>
      <c r="E40" s="1326"/>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9" t="s">
        <v>222</v>
      </c>
      <c r="G42" s="35"/>
    </row>
    <row r="43" spans="1:21" ht="42">
      <c r="A43" s="920" t="str">
        <f>A10</f>
        <v>Chipola College</v>
      </c>
      <c r="B43" s="921" t="s">
        <v>706</v>
      </c>
      <c r="C43" s="922">
        <v>200000</v>
      </c>
      <c r="D43" s="922"/>
      <c r="E43" s="750">
        <f t="shared" ref="E43:E56" si="1">C43+D43</f>
        <v>200000</v>
      </c>
    </row>
    <row r="44" spans="1:21" ht="42">
      <c r="A44" s="923" t="str">
        <f>A11</f>
        <v>Daytona State College</v>
      </c>
      <c r="B44" s="924" t="s">
        <v>712</v>
      </c>
      <c r="C44" s="922">
        <v>500000</v>
      </c>
      <c r="D44" s="922"/>
      <c r="E44" s="750">
        <f t="shared" si="1"/>
        <v>500000</v>
      </c>
      <c r="H44" s="33"/>
    </row>
    <row r="45" spans="1:21" ht="43.15" customHeight="1">
      <c r="A45" s="925" t="s">
        <v>680</v>
      </c>
      <c r="B45" s="924" t="s">
        <v>753</v>
      </c>
      <c r="C45" s="922"/>
      <c r="D45" s="922">
        <v>455000</v>
      </c>
      <c r="E45" s="750">
        <f t="shared" si="1"/>
        <v>455000</v>
      </c>
      <c r="H45" s="33"/>
    </row>
    <row r="46" spans="1:21" ht="62.45" customHeight="1">
      <c r="A46" s="925" t="s">
        <v>684</v>
      </c>
      <c r="B46" s="924" t="s">
        <v>707</v>
      </c>
      <c r="C46" s="922">
        <v>2500000</v>
      </c>
      <c r="D46" s="922"/>
      <c r="E46" s="750">
        <f t="shared" si="1"/>
        <v>2500000</v>
      </c>
      <c r="H46" s="33"/>
    </row>
    <row r="47" spans="1:21" ht="28.5" customHeight="1">
      <c r="A47" s="925" t="s">
        <v>684</v>
      </c>
      <c r="B47" s="927" t="s">
        <v>709</v>
      </c>
      <c r="C47" s="928">
        <v>650000</v>
      </c>
      <c r="D47" s="922"/>
      <c r="E47" s="750">
        <f t="shared" si="1"/>
        <v>650000</v>
      </c>
      <c r="H47" s="33"/>
    </row>
    <row r="48" spans="1:21" ht="48" customHeight="1">
      <c r="A48" s="925" t="s">
        <v>727</v>
      </c>
      <c r="B48" s="924" t="s">
        <v>754</v>
      </c>
      <c r="C48" s="922"/>
      <c r="D48" s="922">
        <v>100000</v>
      </c>
      <c r="E48" s="750">
        <f t="shared" si="1"/>
        <v>100000</v>
      </c>
      <c r="H48" s="33"/>
    </row>
    <row r="49" spans="1:8" ht="41.25" customHeight="1">
      <c r="A49" s="925" t="s">
        <v>688</v>
      </c>
      <c r="B49" s="924" t="s">
        <v>756</v>
      </c>
      <c r="C49" s="922"/>
      <c r="D49" s="922">
        <v>2150000</v>
      </c>
      <c r="E49" s="750">
        <f t="shared" si="1"/>
        <v>2150000</v>
      </c>
      <c r="H49" s="33"/>
    </row>
    <row r="50" spans="1:8" ht="42.75" customHeight="1">
      <c r="A50" s="925" t="s">
        <v>688</v>
      </c>
      <c r="B50" s="924" t="s">
        <v>757</v>
      </c>
      <c r="C50" s="922"/>
      <c r="D50" s="922">
        <v>439500</v>
      </c>
      <c r="E50" s="750">
        <f t="shared" si="1"/>
        <v>439500</v>
      </c>
      <c r="H50" s="33"/>
    </row>
    <row r="51" spans="1:8" ht="27.75" customHeight="1">
      <c r="A51" s="925" t="s">
        <v>689</v>
      </c>
      <c r="B51" s="924" t="s">
        <v>755</v>
      </c>
      <c r="C51" s="922"/>
      <c r="D51" s="922">
        <v>50000</v>
      </c>
      <c r="E51" s="750">
        <f t="shared" si="1"/>
        <v>50000</v>
      </c>
      <c r="H51" s="33"/>
    </row>
    <row r="52" spans="1:8">
      <c r="A52" s="925" t="str">
        <f>A25</f>
        <v>Pasco-Hernando State College</v>
      </c>
      <c r="B52" s="924" t="s">
        <v>708</v>
      </c>
      <c r="C52" s="922">
        <v>2306271</v>
      </c>
      <c r="D52" s="922"/>
      <c r="E52" s="750">
        <f t="shared" si="1"/>
        <v>2306271</v>
      </c>
      <c r="H52" s="33"/>
    </row>
    <row r="53" spans="1:8" ht="63">
      <c r="A53" s="926" t="s">
        <v>695</v>
      </c>
      <c r="B53" s="927" t="s">
        <v>728</v>
      </c>
      <c r="C53" s="928">
        <v>2540288</v>
      </c>
      <c r="D53" s="928"/>
      <c r="E53" s="750">
        <f t="shared" si="1"/>
        <v>2540288</v>
      </c>
      <c r="H53" s="33"/>
    </row>
    <row r="54" spans="1:8" ht="42">
      <c r="A54" s="929" t="str">
        <f>A29</f>
        <v>St. Petersburg College</v>
      </c>
      <c r="B54" s="924" t="s">
        <v>710</v>
      </c>
      <c r="C54" s="922">
        <v>615000</v>
      </c>
      <c r="D54" s="922"/>
      <c r="E54" s="750">
        <f t="shared" si="1"/>
        <v>615000</v>
      </c>
      <c r="H54" s="33"/>
    </row>
    <row r="55" spans="1:8" ht="62.45" customHeight="1">
      <c r="A55" s="929" t="str">
        <f>A32</f>
        <v>South Florida State College</v>
      </c>
      <c r="B55" s="924" t="s">
        <v>713</v>
      </c>
      <c r="C55" s="922">
        <v>126525</v>
      </c>
      <c r="D55" s="922"/>
      <c r="E55" s="750">
        <f t="shared" si="1"/>
        <v>126525</v>
      </c>
      <c r="H55" s="33"/>
    </row>
    <row r="56" spans="1:8" ht="86.25" customHeight="1" thickBot="1">
      <c r="A56" s="929" t="s">
        <v>759</v>
      </c>
      <c r="B56" s="933" t="s">
        <v>758</v>
      </c>
      <c r="C56" s="934"/>
      <c r="D56" s="934">
        <v>50000</v>
      </c>
      <c r="E56" s="750">
        <f t="shared" si="1"/>
        <v>50000</v>
      </c>
      <c r="H56" s="33"/>
    </row>
    <row r="57" spans="1:8" ht="24.6" customHeight="1" thickBot="1">
      <c r="A57" s="112" t="s">
        <v>222</v>
      </c>
      <c r="B57" s="745"/>
      <c r="C57" s="812">
        <f>SUM(C43:C56)</f>
        <v>9438084</v>
      </c>
      <c r="D57" s="812">
        <f>SUM(D43:D56)</f>
        <v>3244500</v>
      </c>
      <c r="E57" s="813">
        <f>SUM(E43:E56)</f>
        <v>12682584</v>
      </c>
      <c r="H57" s="33"/>
    </row>
    <row r="58" spans="1:8" ht="25.15" customHeight="1">
      <c r="A58" s="29" t="s">
        <v>704</v>
      </c>
      <c r="H58" s="33"/>
    </row>
    <row r="59" spans="1:8" ht="25.15" customHeight="1">
      <c r="D59" s="77"/>
      <c r="H59" s="33"/>
    </row>
    <row r="60" spans="1:8" ht="30.6" customHeight="1" thickBot="1">
      <c r="A60" s="912" t="s">
        <v>722</v>
      </c>
      <c r="B60" s="913"/>
      <c r="C60" s="913"/>
      <c r="D60" s="37"/>
      <c r="E60" s="28"/>
      <c r="H60" s="33"/>
    </row>
    <row r="61" spans="1:8" ht="40.9" customHeight="1" thickBot="1">
      <c r="A61" s="74" t="s">
        <v>741</v>
      </c>
      <c r="B61" s="751" t="str">
        <f>B3</f>
        <v>Date Updated:   05.02.19;    BY:  DRS</v>
      </c>
      <c r="C61" s="71"/>
      <c r="D61" s="71"/>
      <c r="F61" s="33"/>
      <c r="G61" s="33"/>
      <c r="H61" s="33"/>
    </row>
    <row r="62" spans="1:8" ht="45" customHeight="1" thickBot="1">
      <c r="A62" s="1329" t="s">
        <v>624</v>
      </c>
      <c r="B62" s="1330"/>
      <c r="C62" s="752"/>
      <c r="H62" s="33"/>
    </row>
    <row r="63" spans="1:8" ht="37.15" customHeight="1" thickBot="1">
      <c r="A63" s="696" t="s">
        <v>602</v>
      </c>
      <c r="B63" s="875" t="s">
        <v>2</v>
      </c>
      <c r="C63" s="35"/>
      <c r="D63" s="38"/>
      <c r="H63" s="33"/>
    </row>
    <row r="64" spans="1:8" ht="25.15" customHeight="1">
      <c r="A64" s="784" t="str">
        <f>A11</f>
        <v>Daytona State College</v>
      </c>
      <c r="B64" s="917">
        <v>70000</v>
      </c>
      <c r="C64" s="753"/>
      <c r="H64" s="33"/>
    </row>
    <row r="65" spans="1:13" ht="25.15" customHeight="1" thickBot="1">
      <c r="A65" s="788" t="str">
        <f>A33</f>
        <v>Tallahassee Community College</v>
      </c>
      <c r="B65" s="918">
        <v>25000</v>
      </c>
      <c r="C65" s="753"/>
      <c r="H65" s="33"/>
    </row>
    <row r="66" spans="1:13" ht="25.15" customHeight="1" thickBot="1">
      <c r="A66" s="737" t="s">
        <v>2</v>
      </c>
      <c r="B66" s="919">
        <f>SUM(B64:B65)</f>
        <v>95000</v>
      </c>
      <c r="C66" s="754"/>
    </row>
    <row r="67" spans="1:13" ht="24.6" customHeight="1">
      <c r="A67" s="938"/>
      <c r="B67" s="937"/>
      <c r="C67" s="937"/>
      <c r="D67" s="33"/>
      <c r="E67" s="33"/>
      <c r="F67" s="33"/>
      <c r="G67" s="28"/>
      <c r="H67" s="33"/>
    </row>
    <row r="68" spans="1:13" ht="31.9" customHeight="1" thickBot="1">
      <c r="A68" s="912" t="s">
        <v>730</v>
      </c>
      <c r="B68" s="913"/>
      <c r="C68" s="913"/>
      <c r="D68" s="37"/>
      <c r="E68" s="28"/>
      <c r="F68" s="33"/>
      <c r="G68" s="28"/>
      <c r="H68" s="33"/>
    </row>
    <row r="69" spans="1:13" ht="44.45" customHeight="1" thickBot="1">
      <c r="A69" s="39" t="s">
        <v>742</v>
      </c>
      <c r="B69" s="1333" t="str">
        <f>B3</f>
        <v>Date Updated:   05.02.19;    BY:  DRS</v>
      </c>
      <c r="C69" s="1334"/>
      <c r="D69" s="1335"/>
      <c r="E69" s="1336"/>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1">
        <v>23593043.425075825</v>
      </c>
      <c r="C71" s="791">
        <f t="shared" ref="C71:C98" si="3">B71*0.05</f>
        <v>1179652.1712537913</v>
      </c>
      <c r="D71" s="792">
        <f t="shared" ref="D71:D98" si="4">IF(C71&gt;500000,0,1)</f>
        <v>0</v>
      </c>
      <c r="E71" s="792">
        <f t="shared" ref="E71:E98" si="5">IF(D71&lt;1,0,B71*0.02)</f>
        <v>0</v>
      </c>
      <c r="F71" s="791">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0" t="str">
        <f t="shared" si="2"/>
        <v>Chipola College</v>
      </c>
      <c r="B74" s="731">
        <v>2858378.8260087394</v>
      </c>
      <c r="C74" s="731">
        <f t="shared" si="3"/>
        <v>142918.94130043697</v>
      </c>
      <c r="D74" s="731">
        <f t="shared" si="4"/>
        <v>1</v>
      </c>
      <c r="E74" s="731">
        <f t="shared" si="5"/>
        <v>57167.576520174793</v>
      </c>
      <c r="F74" s="731">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0" t="str">
        <f t="shared" si="2"/>
        <v>Florida Keys Community College</v>
      </c>
      <c r="B78" s="731">
        <v>2109183.2869962086</v>
      </c>
      <c r="C78" s="731">
        <f t="shared" si="3"/>
        <v>105459.16434981044</v>
      </c>
      <c r="D78" s="731">
        <f t="shared" si="4"/>
        <v>1</v>
      </c>
      <c r="E78" s="731">
        <f t="shared" si="5"/>
        <v>42183.665739924174</v>
      </c>
      <c r="F78" s="731">
        <f t="shared" si="6"/>
        <v>147642.83008973461</v>
      </c>
    </row>
    <row r="79" spans="1:13" ht="25.15" customHeight="1">
      <c r="A79" s="730" t="str">
        <f t="shared" si="2"/>
        <v>Gulf Coast State College</v>
      </c>
      <c r="B79" s="731">
        <v>7028316.3163952716</v>
      </c>
      <c r="C79" s="731">
        <f t="shared" si="3"/>
        <v>351415.81581976358</v>
      </c>
      <c r="D79" s="731">
        <f t="shared" si="4"/>
        <v>1</v>
      </c>
      <c r="E79" s="731">
        <f t="shared" si="5"/>
        <v>140566.32632790544</v>
      </c>
      <c r="F79" s="731">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0" t="str">
        <f t="shared" si="2"/>
        <v>Florida Gateway College</v>
      </c>
      <c r="B82" s="731">
        <v>4809916.9861209113</v>
      </c>
      <c r="C82" s="731">
        <f t="shared" si="3"/>
        <v>240495.84930604557</v>
      </c>
      <c r="D82" s="731">
        <f t="shared" si="4"/>
        <v>1</v>
      </c>
      <c r="E82" s="731">
        <f t="shared" si="5"/>
        <v>96198.339722418226</v>
      </c>
      <c r="F82" s="731">
        <f t="shared" si="6"/>
        <v>336694.18902846379</v>
      </c>
    </row>
    <row r="83" spans="1:6" ht="25.15" customHeight="1">
      <c r="A83" s="730" t="str">
        <f t="shared" si="2"/>
        <v>Lake-Sumter State College</v>
      </c>
      <c r="B83" s="731">
        <v>6899632.3018533867</v>
      </c>
      <c r="C83" s="731">
        <f t="shared" si="3"/>
        <v>344981.61509266938</v>
      </c>
      <c r="D83" s="731">
        <f t="shared" si="4"/>
        <v>1</v>
      </c>
      <c r="E83" s="731">
        <f t="shared" si="5"/>
        <v>137992.64603706772</v>
      </c>
      <c r="F83" s="731">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0" t="str">
        <f t="shared" si="2"/>
        <v>North Florida Community College</v>
      </c>
      <c r="B86" s="731">
        <v>1498882.3726073494</v>
      </c>
      <c r="C86" s="731">
        <f t="shared" si="3"/>
        <v>74944.118630367477</v>
      </c>
      <c r="D86" s="731">
        <f t="shared" si="4"/>
        <v>1</v>
      </c>
      <c r="E86" s="731">
        <f t="shared" si="5"/>
        <v>29977.64745214699</v>
      </c>
      <c r="F86" s="731">
        <f t="shared" si="6"/>
        <v>104921.76608251447</v>
      </c>
    </row>
    <row r="87" spans="1:6" ht="25.15" customHeight="1">
      <c r="A87" s="730" t="str">
        <f t="shared" si="2"/>
        <v>Northwest Florida State College</v>
      </c>
      <c r="B87" s="731">
        <v>8541676.6193891671</v>
      </c>
      <c r="C87" s="731">
        <f t="shared" si="3"/>
        <v>427083.83096945839</v>
      </c>
      <c r="D87" s="731">
        <f t="shared" si="4"/>
        <v>1</v>
      </c>
      <c r="E87" s="731">
        <f t="shared" si="5"/>
        <v>170833.53238778334</v>
      </c>
      <c r="F87" s="731">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0" t="str">
        <f t="shared" si="2"/>
        <v>St. Johns River State College</v>
      </c>
      <c r="B92" s="731">
        <v>9230809.7528542113</v>
      </c>
      <c r="C92" s="731">
        <f t="shared" si="3"/>
        <v>461540.48764271056</v>
      </c>
      <c r="D92" s="731">
        <f t="shared" si="4"/>
        <v>1</v>
      </c>
      <c r="E92" s="731">
        <f t="shared" si="5"/>
        <v>184616.19505708423</v>
      </c>
      <c r="F92" s="731">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0" t="str">
        <f t="shared" si="2"/>
        <v>South Florida State College</v>
      </c>
      <c r="B96" s="731">
        <v>3894630.4123492073</v>
      </c>
      <c r="C96" s="731">
        <f t="shared" si="3"/>
        <v>194731.52061746037</v>
      </c>
      <c r="D96" s="731">
        <f t="shared" si="4"/>
        <v>1</v>
      </c>
      <c r="E96" s="731">
        <f t="shared" si="5"/>
        <v>77892.608246984149</v>
      </c>
      <c r="F96" s="731">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39">
        <v>92409079.108470723</v>
      </c>
      <c r="C98" s="47">
        <f t="shared" si="3"/>
        <v>4620453.9554235367</v>
      </c>
      <c r="D98" s="47">
        <f t="shared" si="4"/>
        <v>0</v>
      </c>
      <c r="E98" s="47">
        <f t="shared" si="5"/>
        <v>0</v>
      </c>
      <c r="F98" s="47">
        <f t="shared" si="6"/>
        <v>4620453.9554235367</v>
      </c>
    </row>
    <row r="99" spans="1:54" ht="25.15" customHeight="1" thickBot="1">
      <c r="A99" s="112" t="s">
        <v>2</v>
      </c>
      <c r="B99" s="793">
        <f>SUM(B71:B98)</f>
        <v>786868199.56060445</v>
      </c>
      <c r="C99" s="793">
        <f>SUM(C71:C98)</f>
        <v>39343409.978030227</v>
      </c>
      <c r="D99" s="113">
        <f>SUM(D71:D98)</f>
        <v>9</v>
      </c>
      <c r="E99" s="793">
        <f>SUM(E71:E98)</f>
        <v>937428.53749148909</v>
      </c>
      <c r="F99" s="794">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47" t="s">
        <v>744</v>
      </c>
      <c r="B102" s="1347"/>
      <c r="C102" s="1347"/>
      <c r="D102" s="1347"/>
      <c r="E102" s="1347"/>
      <c r="F102" s="1347"/>
      <c r="G102" s="1347"/>
      <c r="H102" s="1347"/>
      <c r="I102" s="1347"/>
      <c r="J102" s="1347"/>
      <c r="K102" s="1347"/>
      <c r="L102" s="1347"/>
      <c r="M102" s="1347"/>
      <c r="N102" s="1347"/>
      <c r="O102" s="1347"/>
      <c r="P102" s="1347"/>
      <c r="Q102" s="1347"/>
      <c r="R102" s="1347"/>
    </row>
    <row r="103" spans="1:54" ht="19.899999999999999" customHeight="1">
      <c r="A103" s="1345" t="s">
        <v>745</v>
      </c>
      <c r="B103" s="1345"/>
      <c r="C103" s="1345"/>
      <c r="D103" s="1345"/>
      <c r="E103" s="1345"/>
      <c r="F103" s="1345"/>
      <c r="G103" s="1345"/>
      <c r="H103" s="1345"/>
      <c r="I103" s="1345"/>
      <c r="J103" s="1345"/>
      <c r="K103" s="1345"/>
      <c r="L103" s="1345"/>
      <c r="M103" s="1345"/>
      <c r="N103" s="1345"/>
      <c r="O103" s="1345"/>
      <c r="P103" s="1345"/>
      <c r="Q103" s="1345"/>
      <c r="R103" s="1345"/>
      <c r="S103" s="931"/>
    </row>
    <row r="104" spans="1:54" ht="19.899999999999999" customHeight="1">
      <c r="A104" s="877" t="s">
        <v>746</v>
      </c>
      <c r="B104" s="877"/>
      <c r="C104" s="877"/>
      <c r="D104" s="877"/>
      <c r="E104" s="877"/>
      <c r="F104" s="877"/>
      <c r="G104" s="877"/>
      <c r="H104" s="877"/>
      <c r="I104" s="877"/>
      <c r="J104" s="877"/>
      <c r="K104" s="877"/>
      <c r="L104" s="877"/>
      <c r="M104" s="877"/>
      <c r="N104" s="877"/>
      <c r="O104" s="877"/>
      <c r="P104" s="877"/>
      <c r="Q104" s="877"/>
      <c r="R104" s="877"/>
    </row>
    <row r="105" spans="1:54" ht="19.899999999999999" customHeight="1">
      <c r="A105" s="1345" t="s">
        <v>611</v>
      </c>
      <c r="B105" s="1345"/>
      <c r="C105" s="1345"/>
      <c r="D105" s="1345"/>
      <c r="E105" s="1345"/>
      <c r="F105" s="1345"/>
      <c r="G105" s="1345"/>
      <c r="H105" s="1345"/>
      <c r="I105" s="1345"/>
      <c r="J105" s="1345"/>
      <c r="K105" s="1345"/>
      <c r="L105" s="1345"/>
      <c r="M105" s="1345"/>
      <c r="N105" s="1345"/>
      <c r="O105" s="1345"/>
      <c r="P105" s="1345"/>
      <c r="Q105" s="1345"/>
      <c r="R105" s="1345"/>
    </row>
    <row r="106" spans="1:54" ht="19.899999999999999" customHeight="1">
      <c r="A106" s="1345"/>
      <c r="B106" s="1345"/>
      <c r="C106" s="1345"/>
      <c r="D106" s="1345"/>
      <c r="E106" s="1345"/>
      <c r="F106" s="1345"/>
      <c r="G106" s="1345"/>
    </row>
    <row r="107" spans="1:54" ht="32.450000000000003" customHeight="1" thickBot="1">
      <c r="E107" s="911"/>
      <c r="F107" s="911"/>
      <c r="G107" s="911"/>
      <c r="H107" s="37"/>
      <c r="I107" s="37"/>
      <c r="J107" s="37"/>
      <c r="K107" s="37"/>
    </row>
    <row r="108" spans="1:54" ht="43.15" customHeight="1" thickBot="1">
      <c r="A108" s="76" t="s">
        <v>747</v>
      </c>
      <c r="B108" s="1340" t="s">
        <v>760</v>
      </c>
      <c r="C108" s="1341"/>
      <c r="D108" s="1342"/>
      <c r="E108" s="1343" t="s">
        <v>266</v>
      </c>
      <c r="F108" s="1343"/>
      <c r="G108" s="1343"/>
      <c r="H108" s="1343"/>
      <c r="I108" s="1343"/>
      <c r="J108" s="1343"/>
      <c r="K108" s="1343"/>
      <c r="L108" s="1343"/>
      <c r="M108" s="1343"/>
      <c r="N108" s="1343"/>
      <c r="O108" s="1343"/>
      <c r="P108" s="1343"/>
      <c r="Q108" s="1343"/>
      <c r="R108" s="1343"/>
      <c r="S108" s="1344"/>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7" t="s">
        <v>528</v>
      </c>
      <c r="U109" s="52"/>
      <c r="V109" s="73">
        <v>20</v>
      </c>
      <c r="W109" s="126">
        <v>21</v>
      </c>
      <c r="X109" s="126">
        <v>22</v>
      </c>
      <c r="Y109" s="105"/>
      <c r="Z109" s="126">
        <v>23</v>
      </c>
      <c r="AA109" s="126">
        <v>24</v>
      </c>
      <c r="AB109" s="127">
        <v>25</v>
      </c>
      <c r="AC109" s="54"/>
      <c r="AD109" s="50"/>
    </row>
    <row r="110" spans="1:54" ht="29.45" customHeight="1" thickBot="1">
      <c r="A110" s="90" t="s">
        <v>574</v>
      </c>
      <c r="B110" s="1295" t="s">
        <v>261</v>
      </c>
      <c r="C110" s="1296"/>
      <c r="D110" s="1297"/>
      <c r="E110" s="53"/>
      <c r="F110" s="1299" t="s">
        <v>257</v>
      </c>
      <c r="G110" s="1299"/>
      <c r="H110" s="1299"/>
      <c r="I110" s="1299"/>
      <c r="J110" s="1299"/>
      <c r="K110" s="1299"/>
      <c r="L110" s="1299"/>
      <c r="M110" s="1299"/>
      <c r="N110" s="1299"/>
      <c r="O110" s="1299"/>
      <c r="P110" s="1299"/>
      <c r="Q110" s="1300" t="s">
        <v>258</v>
      </c>
      <c r="R110" s="1301"/>
      <c r="S110" s="1302"/>
      <c r="T110" s="1328"/>
      <c r="U110" s="55"/>
      <c r="V110" s="56"/>
      <c r="W110" s="57"/>
      <c r="X110" s="58"/>
      <c r="Y110" s="106"/>
      <c r="Z110" s="1305"/>
      <c r="AA110" s="1306"/>
      <c r="AB110" s="1307"/>
      <c r="AC110" s="31"/>
      <c r="AD110" s="131" t="s">
        <v>751</v>
      </c>
      <c r="AF110" s="49"/>
      <c r="AG110" s="50"/>
    </row>
    <row r="111" spans="1:54" ht="66" customHeight="1" thickBot="1">
      <c r="A111" s="59"/>
      <c r="B111" s="1308" t="s">
        <v>617</v>
      </c>
      <c r="C111" s="1309"/>
      <c r="D111" s="1310"/>
      <c r="E111" s="1308" t="s">
        <v>216</v>
      </c>
      <c r="F111" s="1309"/>
      <c r="G111" s="1310"/>
      <c r="H111" s="1308" t="s">
        <v>253</v>
      </c>
      <c r="I111" s="1309"/>
      <c r="J111" s="1310"/>
      <c r="K111" s="1319" t="s">
        <v>629</v>
      </c>
      <c r="L111" s="1319"/>
      <c r="M111" s="1319"/>
      <c r="N111" s="1320" t="s">
        <v>249</v>
      </c>
      <c r="O111" s="1321"/>
      <c r="P111" s="1322"/>
      <c r="Q111" s="1320" t="s">
        <v>527</v>
      </c>
      <c r="R111" s="1321"/>
      <c r="S111" s="1322"/>
      <c r="T111" s="1303" t="s">
        <v>618</v>
      </c>
      <c r="U111" s="36"/>
      <c r="V111" s="1316" t="s">
        <v>254</v>
      </c>
      <c r="W111" s="1317"/>
      <c r="X111" s="1323"/>
      <c r="Y111" s="99"/>
      <c r="Z111" s="1316" t="s">
        <v>463</v>
      </c>
      <c r="AA111" s="1317"/>
      <c r="AB111" s="1318"/>
      <c r="AC111" s="37"/>
      <c r="AD111" s="72" t="s">
        <v>219</v>
      </c>
      <c r="AF111" s="31"/>
      <c r="AG111" s="33"/>
      <c r="AI111" s="1311" t="s">
        <v>731</v>
      </c>
      <c r="AJ111" s="1311"/>
      <c r="AK111" s="1311"/>
      <c r="AL111" s="1311"/>
      <c r="AM111" s="1311"/>
      <c r="AN111" s="1311"/>
      <c r="AO111" s="1311"/>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04"/>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7">A7</f>
        <v>Eastern Florida State College</v>
      </c>
      <c r="B113" s="878">
        <v>842</v>
      </c>
      <c r="C113" s="104"/>
      <c r="D113" s="755">
        <f t="shared" ref="D113:D140" si="8">B113+C113</f>
        <v>842</v>
      </c>
      <c r="E113" s="878">
        <v>5442.2391843558571</v>
      </c>
      <c r="F113" s="881">
        <v>195.1971277047675</v>
      </c>
      <c r="G113" s="755">
        <f t="shared" ref="G113:G140" si="9">E113+F113</f>
        <v>5637.4363120606249</v>
      </c>
      <c r="H113" s="884">
        <v>1829.526187401349</v>
      </c>
      <c r="I113" s="885">
        <v>41.504950495049506</v>
      </c>
      <c r="J113" s="755">
        <f>H113+I113</f>
        <v>1871.0311378963986</v>
      </c>
      <c r="K113" s="890">
        <v>250.42028018679119</v>
      </c>
      <c r="L113" s="891">
        <v>23.579719813208804</v>
      </c>
      <c r="M113" s="84">
        <f t="shared" ref="M113:M140" si="10">K113+L113</f>
        <v>274</v>
      </c>
      <c r="N113" s="890">
        <v>0</v>
      </c>
      <c r="O113" s="891">
        <v>0</v>
      </c>
      <c r="P113" s="84">
        <f t="shared" ref="P113:P140" si="11">N113+O113</f>
        <v>0</v>
      </c>
      <c r="Q113" s="890">
        <v>301.58792650918633</v>
      </c>
      <c r="R113" s="896">
        <v>8.0023330417031211</v>
      </c>
      <c r="S113" s="755">
        <f t="shared" ref="S113:S140" si="12">Q113+R113</f>
        <v>309.59025955088947</v>
      </c>
      <c r="T113" s="84">
        <f t="shared" ref="T113:T140" si="13">D113+G113+J113+M113+P113+S113</f>
        <v>8934.0577095079116</v>
      </c>
      <c r="V113" s="764">
        <f>X113-W113</f>
        <v>0</v>
      </c>
      <c r="W113" s="899">
        <v>0</v>
      </c>
      <c r="X113" s="900">
        <v>0</v>
      </c>
      <c r="Y113" s="130"/>
      <c r="Z113" s="768">
        <f>AB113-AA113</f>
        <v>0</v>
      </c>
      <c r="AA113" s="903">
        <v>0</v>
      </c>
      <c r="AB113" s="771">
        <f t="shared" ref="AB113:AB140" si="14">AG113</f>
        <v>0</v>
      </c>
      <c r="AD113" s="733" t="str">
        <f>A113</f>
        <v>Eastern Florida State College</v>
      </c>
      <c r="AE113" s="906">
        <v>0</v>
      </c>
      <c r="AF113" s="906">
        <v>0</v>
      </c>
      <c r="AG113" s="773">
        <f t="shared" ref="AG113:AG140" si="15">AE113+AF113</f>
        <v>0</v>
      </c>
      <c r="AI113" s="1298" t="s">
        <v>645</v>
      </c>
      <c r="AJ113" s="1298"/>
      <c r="AK113" s="1298"/>
      <c r="AL113" s="1298"/>
      <c r="AM113" s="1298"/>
      <c r="AN113" s="1298"/>
      <c r="AO113" s="70">
        <f>X141+AB141</f>
        <v>5115</v>
      </c>
      <c r="AP113" s="37"/>
      <c r="AR113" s="63"/>
      <c r="AS113" s="63"/>
      <c r="AT113" s="63"/>
      <c r="AU113" s="37"/>
      <c r="AY113" s="37"/>
      <c r="AZ113" s="37"/>
      <c r="BA113" s="37"/>
      <c r="BB113" s="37"/>
    </row>
    <row r="114" spans="1:54" ht="25.15" customHeight="1">
      <c r="A114" s="734" t="str">
        <f t="shared" si="7"/>
        <v>Broward College</v>
      </c>
      <c r="B114" s="879">
        <v>1306</v>
      </c>
      <c r="C114" s="97"/>
      <c r="D114" s="756">
        <f t="shared" si="8"/>
        <v>1306</v>
      </c>
      <c r="E114" s="879">
        <v>15151.729467277577</v>
      </c>
      <c r="F114" s="882">
        <v>566.41886069889915</v>
      </c>
      <c r="G114" s="756">
        <f t="shared" si="9"/>
        <v>15718.148327976476</v>
      </c>
      <c r="H114" s="886">
        <v>7135.5411761641835</v>
      </c>
      <c r="I114" s="887">
        <v>266.95138816543391</v>
      </c>
      <c r="J114" s="756">
        <f t="shared" ref="J114:J140" si="16">H114+I114</f>
        <v>7402.4925643296174</v>
      </c>
      <c r="K114" s="892">
        <v>1519.8398568552898</v>
      </c>
      <c r="L114" s="893">
        <v>157.16014314471033</v>
      </c>
      <c r="M114" s="760">
        <f t="shared" si="10"/>
        <v>1677</v>
      </c>
      <c r="N114" s="892">
        <v>26.075342465753426</v>
      </c>
      <c r="O114" s="893">
        <v>0.92465753424657549</v>
      </c>
      <c r="P114" s="760">
        <f t="shared" si="11"/>
        <v>27</v>
      </c>
      <c r="Q114" s="892">
        <v>370.17414248021106</v>
      </c>
      <c r="R114" s="897">
        <v>9.8258575197889186</v>
      </c>
      <c r="S114" s="756">
        <f t="shared" si="12"/>
        <v>380</v>
      </c>
      <c r="T114" s="85">
        <f t="shared" si="13"/>
        <v>26510.640892306095</v>
      </c>
      <c r="V114" s="765">
        <f t="shared" ref="V114:V140" si="17">X114-W114</f>
        <v>0</v>
      </c>
      <c r="W114" s="901">
        <v>0</v>
      </c>
      <c r="X114" s="902">
        <v>0</v>
      </c>
      <c r="Y114" s="130"/>
      <c r="Z114" s="769">
        <f t="shared" ref="Z114:Z140" si="18">AB114-AA114</f>
        <v>0</v>
      </c>
      <c r="AA114" s="904">
        <v>0</v>
      </c>
      <c r="AB114" s="771">
        <f t="shared" si="14"/>
        <v>0</v>
      </c>
      <c r="AD114" s="741" t="str">
        <f>A114</f>
        <v>Broward College</v>
      </c>
      <c r="AE114" s="907">
        <v>0</v>
      </c>
      <c r="AF114" s="907">
        <v>0</v>
      </c>
      <c r="AG114" s="774">
        <f t="shared" si="15"/>
        <v>0</v>
      </c>
      <c r="AI114" s="1298" t="s">
        <v>632</v>
      </c>
      <c r="AJ114" s="1298"/>
      <c r="AK114" s="1298"/>
      <c r="AL114" s="1298"/>
      <c r="AM114" s="1298"/>
      <c r="AN114" s="1298"/>
      <c r="AO114" s="909">
        <v>28445.8</v>
      </c>
      <c r="AP114" s="37"/>
      <c r="AR114" s="775"/>
      <c r="AS114" s="775"/>
      <c r="AT114" s="775"/>
      <c r="AU114" s="775"/>
      <c r="AV114" s="775"/>
      <c r="AW114" s="775"/>
      <c r="AX114" s="775"/>
      <c r="AY114" s="37"/>
      <c r="AZ114" s="37"/>
      <c r="BA114" s="37"/>
      <c r="BB114" s="37"/>
    </row>
    <row r="115" spans="1:54" ht="25.15" customHeight="1">
      <c r="A115" s="735" t="str">
        <f t="shared" si="7"/>
        <v>College of Central Florida</v>
      </c>
      <c r="B115" s="879">
        <v>339</v>
      </c>
      <c r="C115" s="97"/>
      <c r="D115" s="756">
        <f t="shared" si="8"/>
        <v>339</v>
      </c>
      <c r="E115" s="879">
        <v>2477.8378982671884</v>
      </c>
      <c r="F115" s="882">
        <v>102.42444568660332</v>
      </c>
      <c r="G115" s="756">
        <f t="shared" si="9"/>
        <v>2580.2623439537915</v>
      </c>
      <c r="H115" s="886">
        <v>1197.7795905049352</v>
      </c>
      <c r="I115" s="887">
        <v>37.097968839220165</v>
      </c>
      <c r="J115" s="756">
        <f t="shared" si="16"/>
        <v>1234.8775593441553</v>
      </c>
      <c r="K115" s="892">
        <v>116.76767676767676</v>
      </c>
      <c r="L115" s="893">
        <v>19.232323232323232</v>
      </c>
      <c r="M115" s="760">
        <f t="shared" si="10"/>
        <v>136</v>
      </c>
      <c r="N115" s="892">
        <v>0</v>
      </c>
      <c r="O115" s="893">
        <v>0</v>
      </c>
      <c r="P115" s="760">
        <f t="shared" si="11"/>
        <v>0</v>
      </c>
      <c r="Q115" s="892">
        <v>154.21632024634332</v>
      </c>
      <c r="R115" s="897">
        <v>3.6389530408006157</v>
      </c>
      <c r="S115" s="756">
        <f t="shared" si="12"/>
        <v>157.85527328714394</v>
      </c>
      <c r="T115" s="85">
        <f t="shared" si="13"/>
        <v>4447.995176585091</v>
      </c>
      <c r="V115" s="765">
        <f t="shared" si="17"/>
        <v>0</v>
      </c>
      <c r="W115" s="901">
        <v>0</v>
      </c>
      <c r="X115" s="902">
        <v>0</v>
      </c>
      <c r="Y115" s="130"/>
      <c r="Z115" s="769">
        <f t="shared" si="18"/>
        <v>6.55700325732899</v>
      </c>
      <c r="AA115" s="904">
        <v>26.44299674267101</v>
      </c>
      <c r="AB115" s="771">
        <f t="shared" si="14"/>
        <v>33</v>
      </c>
      <c r="AD115" s="735" t="str">
        <f t="shared" ref="AD115:AD140" si="19">A115</f>
        <v>College of Central Florida</v>
      </c>
      <c r="AE115" s="907">
        <v>16</v>
      </c>
      <c r="AF115" s="907">
        <v>17</v>
      </c>
      <c r="AG115" s="774">
        <f t="shared" si="15"/>
        <v>33</v>
      </c>
      <c r="AI115" s="1298" t="s">
        <v>633</v>
      </c>
      <c r="AJ115" s="1298"/>
      <c r="AK115" s="1298"/>
      <c r="AL115" s="1298"/>
      <c r="AM115" s="1298"/>
      <c r="AN115" s="1298"/>
      <c r="AO115" s="910">
        <v>5106</v>
      </c>
      <c r="AP115" s="37"/>
      <c r="AR115" s="37"/>
      <c r="AS115" s="37"/>
      <c r="AT115" s="37"/>
      <c r="AU115" s="37"/>
      <c r="AV115" s="37"/>
      <c r="AW115" s="37"/>
      <c r="AX115" s="37"/>
      <c r="AY115" s="37"/>
      <c r="AZ115" s="37"/>
      <c r="BA115" s="37"/>
      <c r="BB115" s="37"/>
    </row>
    <row r="116" spans="1:54" ht="25.15" customHeight="1">
      <c r="A116" s="735" t="str">
        <f t="shared" si="7"/>
        <v>Chipola College</v>
      </c>
      <c r="B116" s="879">
        <v>135</v>
      </c>
      <c r="C116" s="97"/>
      <c r="D116" s="756">
        <f t="shared" si="8"/>
        <v>135</v>
      </c>
      <c r="E116" s="879">
        <v>638.90622039785285</v>
      </c>
      <c r="F116" s="882">
        <v>48.483107041364065</v>
      </c>
      <c r="G116" s="756">
        <f t="shared" si="9"/>
        <v>687.38932743921691</v>
      </c>
      <c r="H116" s="886">
        <v>215.91623036649216</v>
      </c>
      <c r="I116" s="887">
        <v>7.5392670157068071</v>
      </c>
      <c r="J116" s="756">
        <f t="shared" si="16"/>
        <v>223.45549738219896</v>
      </c>
      <c r="K116" s="892">
        <v>12.934782608695652</v>
      </c>
      <c r="L116" s="893">
        <v>4.0652173913043486</v>
      </c>
      <c r="M116" s="760">
        <f t="shared" si="10"/>
        <v>17</v>
      </c>
      <c r="N116" s="892">
        <v>0</v>
      </c>
      <c r="O116" s="893">
        <v>0</v>
      </c>
      <c r="P116" s="760">
        <f t="shared" si="11"/>
        <v>0</v>
      </c>
      <c r="Q116" s="892">
        <v>140.99581589958157</v>
      </c>
      <c r="R116" s="897">
        <v>0.72803347280334729</v>
      </c>
      <c r="S116" s="756">
        <f t="shared" si="12"/>
        <v>141.72384937238493</v>
      </c>
      <c r="T116" s="85">
        <f t="shared" si="13"/>
        <v>1204.5686741938007</v>
      </c>
      <c r="V116" s="765">
        <f t="shared" si="17"/>
        <v>0</v>
      </c>
      <c r="W116" s="901">
        <v>0</v>
      </c>
      <c r="X116" s="902">
        <v>0</v>
      </c>
      <c r="Y116" s="130"/>
      <c r="Z116" s="769">
        <f t="shared" si="18"/>
        <v>0</v>
      </c>
      <c r="AA116" s="904">
        <v>0</v>
      </c>
      <c r="AB116" s="771">
        <f t="shared" si="14"/>
        <v>0</v>
      </c>
      <c r="AD116" s="735" t="str">
        <f t="shared" si="19"/>
        <v>Chipola College</v>
      </c>
      <c r="AE116" s="907">
        <v>0</v>
      </c>
      <c r="AF116" s="907">
        <v>0</v>
      </c>
      <c r="AG116" s="774">
        <f t="shared" si="15"/>
        <v>0</v>
      </c>
      <c r="AI116" s="63" t="s">
        <v>222</v>
      </c>
      <c r="AJ116" s="63"/>
      <c r="AK116" s="63"/>
      <c r="AL116" s="63"/>
      <c r="AM116" s="63"/>
      <c r="AN116" s="63"/>
      <c r="AO116" s="69">
        <f>SUM(AO113:AO115)</f>
        <v>38666.800000000003</v>
      </c>
      <c r="AP116" s="37"/>
      <c r="AR116" s="775"/>
      <c r="AS116" s="775"/>
      <c r="AT116" s="775"/>
      <c r="AU116" s="775"/>
      <c r="AV116" s="775"/>
      <c r="AW116" s="775"/>
      <c r="AX116" s="775"/>
    </row>
    <row r="117" spans="1:54" ht="25.15" customHeight="1">
      <c r="A117" s="735" t="str">
        <f t="shared" si="7"/>
        <v>Daytona State College</v>
      </c>
      <c r="B117" s="879">
        <v>998</v>
      </c>
      <c r="C117" s="97"/>
      <c r="D117" s="756">
        <f t="shared" si="8"/>
        <v>998</v>
      </c>
      <c r="E117" s="879">
        <v>4849.779077813424</v>
      </c>
      <c r="F117" s="882">
        <v>326.46640875636911</v>
      </c>
      <c r="G117" s="756">
        <f t="shared" si="9"/>
        <v>5176.2454865697928</v>
      </c>
      <c r="H117" s="886">
        <v>2011.0259268233583</v>
      </c>
      <c r="I117" s="887">
        <v>132.4659559001696</v>
      </c>
      <c r="J117" s="756">
        <f t="shared" si="16"/>
        <v>2143.4918827235279</v>
      </c>
      <c r="K117" s="892">
        <v>115.23989569752281</v>
      </c>
      <c r="L117" s="893">
        <v>10.760104302477183</v>
      </c>
      <c r="M117" s="760">
        <f t="shared" si="10"/>
        <v>126</v>
      </c>
      <c r="N117" s="892">
        <v>2</v>
      </c>
      <c r="O117" s="893">
        <v>0</v>
      </c>
      <c r="P117" s="760">
        <f t="shared" si="11"/>
        <v>2</v>
      </c>
      <c r="Q117" s="892">
        <v>618.29837667001868</v>
      </c>
      <c r="R117" s="897">
        <v>52.868266053727908</v>
      </c>
      <c r="S117" s="756">
        <f t="shared" si="12"/>
        <v>671.16664272374658</v>
      </c>
      <c r="T117" s="85">
        <f t="shared" si="13"/>
        <v>9116.9040120170685</v>
      </c>
      <c r="V117" s="765">
        <f t="shared" si="17"/>
        <v>3</v>
      </c>
      <c r="W117" s="901">
        <v>3</v>
      </c>
      <c r="X117" s="902">
        <v>6</v>
      </c>
      <c r="Y117" s="130"/>
      <c r="Z117" s="769">
        <f t="shared" si="18"/>
        <v>58.632528448515245</v>
      </c>
      <c r="AA117" s="904">
        <v>662.36747155148475</v>
      </c>
      <c r="AB117" s="771">
        <f t="shared" si="14"/>
        <v>721</v>
      </c>
      <c r="AD117" s="735" t="str">
        <f t="shared" si="19"/>
        <v>Daytona State College</v>
      </c>
      <c r="AE117" s="907">
        <v>610</v>
      </c>
      <c r="AF117" s="907">
        <v>111</v>
      </c>
      <c r="AG117" s="774">
        <f t="shared" si="15"/>
        <v>721</v>
      </c>
      <c r="AP117" s="37"/>
      <c r="AS117" s="63"/>
      <c r="AT117" s="37"/>
      <c r="AU117" s="37"/>
      <c r="AV117" s="37"/>
      <c r="AW117" s="37"/>
    </row>
    <row r="118" spans="1:54" ht="25.15" customHeight="1">
      <c r="A118" s="735" t="str">
        <f t="shared" si="7"/>
        <v>Florida SouthWestern State College</v>
      </c>
      <c r="B118" s="879">
        <v>591</v>
      </c>
      <c r="C118" s="97"/>
      <c r="D118" s="756">
        <f t="shared" si="8"/>
        <v>591</v>
      </c>
      <c r="E118" s="879">
        <v>7596.8864440201578</v>
      </c>
      <c r="F118" s="882">
        <v>258.89527058749883</v>
      </c>
      <c r="G118" s="756">
        <f t="shared" si="9"/>
        <v>7855.7817146076568</v>
      </c>
      <c r="H118" s="886">
        <v>687.87328657953469</v>
      </c>
      <c r="I118" s="887">
        <v>10.532674529805547</v>
      </c>
      <c r="J118" s="756">
        <f t="shared" si="16"/>
        <v>698.4059611093403</v>
      </c>
      <c r="K118" s="892">
        <v>249.11656891495602</v>
      </c>
      <c r="L118" s="893">
        <v>20.883431085043988</v>
      </c>
      <c r="M118" s="760">
        <f t="shared" si="10"/>
        <v>270</v>
      </c>
      <c r="N118" s="892">
        <v>0</v>
      </c>
      <c r="O118" s="893">
        <v>0</v>
      </c>
      <c r="P118" s="760">
        <f t="shared" si="11"/>
        <v>0</v>
      </c>
      <c r="Q118" s="892">
        <v>27</v>
      </c>
      <c r="R118" s="897">
        <v>1</v>
      </c>
      <c r="S118" s="756">
        <f t="shared" si="12"/>
        <v>28</v>
      </c>
      <c r="T118" s="85">
        <f t="shared" si="13"/>
        <v>9443.1876757169957</v>
      </c>
      <c r="V118" s="765">
        <f t="shared" si="17"/>
        <v>0</v>
      </c>
      <c r="W118" s="901">
        <v>0</v>
      </c>
      <c r="X118" s="902">
        <v>0</v>
      </c>
      <c r="Y118" s="130"/>
      <c r="Z118" s="769">
        <f t="shared" si="18"/>
        <v>0</v>
      </c>
      <c r="AA118" s="904">
        <v>0</v>
      </c>
      <c r="AB118" s="771">
        <f t="shared" si="14"/>
        <v>0</v>
      </c>
      <c r="AD118" s="735" t="str">
        <f t="shared" si="19"/>
        <v>Florida SouthWestern State College</v>
      </c>
      <c r="AE118" s="907">
        <v>0</v>
      </c>
      <c r="AF118" s="907">
        <v>0</v>
      </c>
      <c r="AG118" s="774">
        <f t="shared" si="15"/>
        <v>0</v>
      </c>
      <c r="AI118" s="63" t="s">
        <v>748</v>
      </c>
      <c r="AJ118" s="37"/>
      <c r="AK118" s="37"/>
      <c r="AL118" s="37"/>
      <c r="AM118" s="37"/>
      <c r="AN118" s="37"/>
      <c r="AO118" s="909">
        <v>321884</v>
      </c>
      <c r="AR118" s="63"/>
      <c r="AS118" s="63"/>
      <c r="AT118" s="37"/>
      <c r="AU118" s="37"/>
      <c r="AV118" s="37"/>
      <c r="AW118" s="37"/>
    </row>
    <row r="119" spans="1:54" ht="25.15" customHeight="1">
      <c r="A119" s="735" t="str">
        <f t="shared" si="7"/>
        <v>Florida State College at Jacksonville</v>
      </c>
      <c r="B119" s="879">
        <v>1712</v>
      </c>
      <c r="C119" s="97"/>
      <c r="D119" s="756">
        <f t="shared" si="8"/>
        <v>1712</v>
      </c>
      <c r="E119" s="879">
        <v>8557.8680352201245</v>
      </c>
      <c r="F119" s="882">
        <v>324.48871446540875</v>
      </c>
      <c r="G119" s="756">
        <f t="shared" si="9"/>
        <v>8882.3567496855339</v>
      </c>
      <c r="H119" s="886">
        <v>3267.7988165680476</v>
      </c>
      <c r="I119" s="887">
        <v>90.085721366832914</v>
      </c>
      <c r="J119" s="756">
        <f t="shared" si="16"/>
        <v>3357.8845379348804</v>
      </c>
      <c r="K119" s="892">
        <v>631.65028952447801</v>
      </c>
      <c r="L119" s="893">
        <v>43.349710475522024</v>
      </c>
      <c r="M119" s="760">
        <f t="shared" si="10"/>
        <v>675</v>
      </c>
      <c r="N119" s="892">
        <v>2</v>
      </c>
      <c r="O119" s="893">
        <v>0</v>
      </c>
      <c r="P119" s="760">
        <f t="shared" si="11"/>
        <v>2</v>
      </c>
      <c r="Q119" s="892">
        <v>844.1177413812851</v>
      </c>
      <c r="R119" s="897">
        <v>32.023135952353684</v>
      </c>
      <c r="S119" s="756">
        <f t="shared" si="12"/>
        <v>876.14087733363874</v>
      </c>
      <c r="T119" s="85">
        <f t="shared" si="13"/>
        <v>15505.382164954053</v>
      </c>
      <c r="V119" s="765">
        <f t="shared" si="17"/>
        <v>0</v>
      </c>
      <c r="W119" s="901">
        <v>0</v>
      </c>
      <c r="X119" s="902">
        <v>0</v>
      </c>
      <c r="Y119" s="130"/>
      <c r="Z119" s="769">
        <f t="shared" si="18"/>
        <v>162.08348030570255</v>
      </c>
      <c r="AA119" s="904">
        <v>319.91651969429745</v>
      </c>
      <c r="AB119" s="771">
        <f t="shared" si="14"/>
        <v>482</v>
      </c>
      <c r="AD119" s="735" t="str">
        <f t="shared" si="19"/>
        <v>Florida State College at Jacksonville</v>
      </c>
      <c r="AE119" s="907">
        <v>441</v>
      </c>
      <c r="AF119" s="907">
        <v>41</v>
      </c>
      <c r="AG119" s="774">
        <f t="shared" si="15"/>
        <v>482</v>
      </c>
      <c r="AM119" s="37"/>
      <c r="AN119" s="37"/>
      <c r="AO119" s="68">
        <f>AO116</f>
        <v>38666.800000000003</v>
      </c>
      <c r="AP119" s="37"/>
      <c r="AQ119" s="63"/>
      <c r="AR119" s="63"/>
      <c r="AS119" s="63"/>
      <c r="AT119" s="37"/>
      <c r="AU119" s="37"/>
      <c r="AV119" s="37"/>
      <c r="AW119" s="37"/>
    </row>
    <row r="120" spans="1:54" ht="25.15" customHeight="1">
      <c r="A120" s="735" t="str">
        <f t="shared" si="7"/>
        <v>Florida Keys Community College</v>
      </c>
      <c r="B120" s="879">
        <v>13</v>
      </c>
      <c r="C120" s="97"/>
      <c r="D120" s="756">
        <f t="shared" si="8"/>
        <v>13</v>
      </c>
      <c r="E120" s="879">
        <v>325.11223263638544</v>
      </c>
      <c r="F120" s="882">
        <v>33.369863013698627</v>
      </c>
      <c r="G120" s="756">
        <f t="shared" si="9"/>
        <v>358.48209565008409</v>
      </c>
      <c r="H120" s="886">
        <v>183.1171875</v>
      </c>
      <c r="I120" s="887">
        <v>22.546874999999996</v>
      </c>
      <c r="J120" s="756">
        <f t="shared" si="16"/>
        <v>205.6640625</v>
      </c>
      <c r="K120" s="892">
        <v>14.097297297297297</v>
      </c>
      <c r="L120" s="893">
        <v>1.9027027027027028</v>
      </c>
      <c r="M120" s="760">
        <f t="shared" si="10"/>
        <v>16</v>
      </c>
      <c r="N120" s="892">
        <v>0</v>
      </c>
      <c r="O120" s="893">
        <v>0</v>
      </c>
      <c r="P120" s="760">
        <f t="shared" si="11"/>
        <v>0</v>
      </c>
      <c r="Q120" s="892">
        <v>62</v>
      </c>
      <c r="R120" s="897">
        <v>0</v>
      </c>
      <c r="S120" s="756">
        <f t="shared" si="12"/>
        <v>62</v>
      </c>
      <c r="T120" s="85">
        <f t="shared" si="13"/>
        <v>655.14615815008415</v>
      </c>
      <c r="V120" s="765">
        <f t="shared" si="17"/>
        <v>0</v>
      </c>
      <c r="W120" s="901">
        <v>0</v>
      </c>
      <c r="X120" s="902">
        <v>0</v>
      </c>
      <c r="Y120" s="130"/>
      <c r="Z120" s="769">
        <f t="shared" si="18"/>
        <v>0</v>
      </c>
      <c r="AA120" s="904">
        <v>0</v>
      </c>
      <c r="AB120" s="771">
        <f t="shared" si="14"/>
        <v>0</v>
      </c>
      <c r="AD120" s="735" t="str">
        <f t="shared" si="19"/>
        <v>Florida Keys Community College</v>
      </c>
      <c r="AE120" s="907">
        <v>0</v>
      </c>
      <c r="AF120" s="907">
        <v>0</v>
      </c>
      <c r="AG120" s="774">
        <f t="shared" si="15"/>
        <v>0</v>
      </c>
      <c r="AI120" s="1294" t="s">
        <v>749</v>
      </c>
      <c r="AJ120" s="1294"/>
      <c r="AK120" s="1294"/>
      <c r="AL120" s="1294"/>
      <c r="AM120" s="1294"/>
      <c r="AN120" s="1294"/>
      <c r="AO120" s="743">
        <f>AO118-AO119</f>
        <v>283217.2</v>
      </c>
      <c r="AP120" s="37"/>
      <c r="AQ120" s="37"/>
      <c r="AR120" s="37"/>
      <c r="AS120" s="37"/>
      <c r="AT120" s="37"/>
      <c r="AU120" s="37"/>
    </row>
    <row r="121" spans="1:54" ht="25.15" customHeight="1">
      <c r="A121" s="735" t="str">
        <f t="shared" si="7"/>
        <v>Gulf Coast State College</v>
      </c>
      <c r="B121" s="879">
        <v>134</v>
      </c>
      <c r="C121" s="97"/>
      <c r="D121" s="756">
        <f t="shared" si="8"/>
        <v>134</v>
      </c>
      <c r="E121" s="879">
        <v>1928.8712924336942</v>
      </c>
      <c r="F121" s="882">
        <v>83.46297217650887</v>
      </c>
      <c r="G121" s="756">
        <f t="shared" si="9"/>
        <v>2012.334264610203</v>
      </c>
      <c r="H121" s="886">
        <v>578.08515007898893</v>
      </c>
      <c r="I121" s="887">
        <v>17.084834123222748</v>
      </c>
      <c r="J121" s="756">
        <f t="shared" si="16"/>
        <v>595.16998420221171</v>
      </c>
      <c r="K121" s="892">
        <v>49.052795031055901</v>
      </c>
      <c r="L121" s="893">
        <v>4.9472049689440993</v>
      </c>
      <c r="M121" s="760">
        <f t="shared" si="10"/>
        <v>54</v>
      </c>
      <c r="N121" s="892">
        <v>8.3883495145631066</v>
      </c>
      <c r="O121" s="893">
        <v>0.61165048543689315</v>
      </c>
      <c r="P121" s="760">
        <f t="shared" si="11"/>
        <v>9</v>
      </c>
      <c r="Q121" s="892">
        <v>125.59322033898304</v>
      </c>
      <c r="R121" s="897">
        <v>4.406779661016949</v>
      </c>
      <c r="S121" s="756">
        <f t="shared" si="12"/>
        <v>130</v>
      </c>
      <c r="T121" s="85">
        <f t="shared" si="13"/>
        <v>2934.5042488124145</v>
      </c>
      <c r="V121" s="765">
        <f t="shared" si="17"/>
        <v>0</v>
      </c>
      <c r="W121" s="901">
        <v>0</v>
      </c>
      <c r="X121" s="902">
        <v>0</v>
      </c>
      <c r="Y121" s="130"/>
      <c r="Z121" s="769">
        <f t="shared" si="18"/>
        <v>0</v>
      </c>
      <c r="AA121" s="904">
        <v>0</v>
      </c>
      <c r="AB121" s="771">
        <f t="shared" si="14"/>
        <v>0</v>
      </c>
      <c r="AD121" s="735" t="str">
        <f t="shared" si="19"/>
        <v>Gulf Coast State College</v>
      </c>
      <c r="AE121" s="907">
        <v>0</v>
      </c>
      <c r="AF121" s="907">
        <v>0</v>
      </c>
      <c r="AG121" s="774">
        <f t="shared" si="15"/>
        <v>0</v>
      </c>
      <c r="AP121" s="37"/>
      <c r="AQ121" s="37"/>
      <c r="AR121" s="37"/>
      <c r="AS121" s="37"/>
      <c r="AT121" s="37"/>
      <c r="AU121" s="37"/>
    </row>
    <row r="122" spans="1:54" ht="25.15" customHeight="1">
      <c r="A122" s="735" t="str">
        <f t="shared" si="7"/>
        <v>Hillsborough Community College</v>
      </c>
      <c r="B122" s="879">
        <v>0</v>
      </c>
      <c r="C122" s="97"/>
      <c r="D122" s="756">
        <f t="shared" si="8"/>
        <v>0</v>
      </c>
      <c r="E122" s="879">
        <v>11573.417290151425</v>
      </c>
      <c r="F122" s="882">
        <v>447.70642065100753</v>
      </c>
      <c r="G122" s="756">
        <f t="shared" si="9"/>
        <v>12021.123710802432</v>
      </c>
      <c r="H122" s="886">
        <v>3146.896411292792</v>
      </c>
      <c r="I122" s="887">
        <v>97.406607875558805</v>
      </c>
      <c r="J122" s="756">
        <f t="shared" si="16"/>
        <v>3244.3030191683506</v>
      </c>
      <c r="K122" s="892">
        <v>956.76809598741147</v>
      </c>
      <c r="L122" s="893">
        <v>45.231904012588522</v>
      </c>
      <c r="M122" s="760">
        <f t="shared" si="10"/>
        <v>1002</v>
      </c>
      <c r="N122" s="892">
        <v>53.773109243697476</v>
      </c>
      <c r="O122" s="893">
        <v>0.22689075630252101</v>
      </c>
      <c r="P122" s="760">
        <f t="shared" si="11"/>
        <v>54</v>
      </c>
      <c r="Q122" s="892">
        <v>445.7872860635697</v>
      </c>
      <c r="R122" s="897">
        <v>5.2127139364303181</v>
      </c>
      <c r="S122" s="756">
        <f t="shared" si="12"/>
        <v>451</v>
      </c>
      <c r="T122" s="85">
        <f t="shared" si="13"/>
        <v>16772.426729970783</v>
      </c>
      <c r="V122" s="765">
        <f t="shared" si="17"/>
        <v>0</v>
      </c>
      <c r="W122" s="901">
        <v>0</v>
      </c>
      <c r="X122" s="902">
        <v>0</v>
      </c>
      <c r="Y122" s="130"/>
      <c r="Z122" s="769">
        <f t="shared" si="18"/>
        <v>21.031446540880502</v>
      </c>
      <c r="AA122" s="904">
        <v>42.968553459119498</v>
      </c>
      <c r="AB122" s="771">
        <f t="shared" si="14"/>
        <v>64</v>
      </c>
      <c r="AD122" s="735" t="str">
        <f t="shared" si="19"/>
        <v>Hillsborough Community College</v>
      </c>
      <c r="AE122" s="907">
        <v>48</v>
      </c>
      <c r="AF122" s="907">
        <v>16</v>
      </c>
      <c r="AG122" s="774">
        <f t="shared" si="15"/>
        <v>64</v>
      </c>
      <c r="AI122" s="1294" t="s">
        <v>750</v>
      </c>
      <c r="AJ122" s="1294"/>
      <c r="AK122" s="1294"/>
      <c r="AL122" s="1294"/>
      <c r="AM122" s="1294"/>
      <c r="AN122" s="1294"/>
      <c r="AO122" s="744">
        <f>AO116+AO120</f>
        <v>321884</v>
      </c>
      <c r="AP122" s="37"/>
      <c r="AQ122" s="37"/>
      <c r="AR122" s="37"/>
      <c r="AS122" s="37"/>
      <c r="AT122" s="37"/>
      <c r="AU122" s="37"/>
    </row>
    <row r="123" spans="1:54" ht="25.15" customHeight="1">
      <c r="A123" s="735" t="str">
        <f t="shared" si="7"/>
        <v>Indian River State College</v>
      </c>
      <c r="B123" s="879">
        <v>1541</v>
      </c>
      <c r="C123" s="97"/>
      <c r="D123" s="756">
        <f t="shared" si="8"/>
        <v>1541</v>
      </c>
      <c r="E123" s="879">
        <v>5025.6967859052656</v>
      </c>
      <c r="F123" s="882">
        <v>103.50405279896428</v>
      </c>
      <c r="G123" s="756">
        <f t="shared" si="9"/>
        <v>5129.2008387042297</v>
      </c>
      <c r="H123" s="886">
        <v>2250.3245558874391</v>
      </c>
      <c r="I123" s="887">
        <v>28.483886181418011</v>
      </c>
      <c r="J123" s="756">
        <f t="shared" si="16"/>
        <v>2278.8084420688569</v>
      </c>
      <c r="K123" s="892">
        <v>100.6332827516439</v>
      </c>
      <c r="L123" s="893">
        <v>3.3667172483560952</v>
      </c>
      <c r="M123" s="760">
        <f t="shared" si="10"/>
        <v>104</v>
      </c>
      <c r="N123" s="892">
        <v>0</v>
      </c>
      <c r="O123" s="893">
        <v>0</v>
      </c>
      <c r="P123" s="760">
        <f t="shared" si="11"/>
        <v>0</v>
      </c>
      <c r="Q123" s="892">
        <v>607.7579795475674</v>
      </c>
      <c r="R123" s="897">
        <v>6.0985435388906106</v>
      </c>
      <c r="S123" s="756">
        <f t="shared" si="12"/>
        <v>613.85652308645797</v>
      </c>
      <c r="T123" s="85">
        <f t="shared" si="13"/>
        <v>9666.8658038595458</v>
      </c>
      <c r="V123" s="765">
        <f t="shared" si="17"/>
        <v>0</v>
      </c>
      <c r="W123" s="901">
        <v>0</v>
      </c>
      <c r="X123" s="902">
        <v>0</v>
      </c>
      <c r="Y123" s="130"/>
      <c r="Z123" s="769">
        <f t="shared" si="18"/>
        <v>620.39090546469879</v>
      </c>
      <c r="AA123" s="904">
        <v>159.60909453530115</v>
      </c>
      <c r="AB123" s="771">
        <f t="shared" si="14"/>
        <v>780</v>
      </c>
      <c r="AD123" s="735" t="str">
        <f t="shared" si="19"/>
        <v>Indian River State College</v>
      </c>
      <c r="AE123" s="907">
        <v>723</v>
      </c>
      <c r="AF123" s="907">
        <v>57</v>
      </c>
      <c r="AG123" s="774">
        <f t="shared" si="15"/>
        <v>780</v>
      </c>
      <c r="AM123" s="37"/>
      <c r="AN123" s="37"/>
      <c r="AO123" s="37"/>
      <c r="AP123" s="37"/>
      <c r="AQ123" s="37"/>
      <c r="AR123" s="37"/>
      <c r="AS123" s="37"/>
      <c r="AT123" s="37"/>
      <c r="AU123" s="37"/>
    </row>
    <row r="124" spans="1:54" ht="25.15" customHeight="1">
      <c r="A124" s="735" t="str">
        <f t="shared" si="7"/>
        <v>Florida Gateway College</v>
      </c>
      <c r="B124" s="879">
        <v>85</v>
      </c>
      <c r="C124" s="97"/>
      <c r="D124" s="756">
        <f t="shared" si="8"/>
        <v>85</v>
      </c>
      <c r="E124" s="879">
        <v>971.84935171846064</v>
      </c>
      <c r="F124" s="882">
        <v>9.6192632228853672</v>
      </c>
      <c r="G124" s="756">
        <f t="shared" si="9"/>
        <v>981.468614941346</v>
      </c>
      <c r="H124" s="886">
        <v>480.25568181818187</v>
      </c>
      <c r="I124" s="887">
        <v>6.8837412587412592</v>
      </c>
      <c r="J124" s="756">
        <f t="shared" si="16"/>
        <v>487.13942307692315</v>
      </c>
      <c r="K124" s="892">
        <v>60.488255033557046</v>
      </c>
      <c r="L124" s="893">
        <v>0.51174496644295298</v>
      </c>
      <c r="M124" s="760">
        <f t="shared" si="10"/>
        <v>61</v>
      </c>
      <c r="N124" s="892">
        <v>12.783333333333333</v>
      </c>
      <c r="O124" s="893">
        <v>0.21666666666666667</v>
      </c>
      <c r="P124" s="760">
        <f t="shared" si="11"/>
        <v>13</v>
      </c>
      <c r="Q124" s="892">
        <v>280.07059654076954</v>
      </c>
      <c r="R124" s="897">
        <v>1.30780091775503</v>
      </c>
      <c r="S124" s="756">
        <f t="shared" si="12"/>
        <v>281.37839745852455</v>
      </c>
      <c r="T124" s="85">
        <f t="shared" si="13"/>
        <v>1908.9864354767938</v>
      </c>
      <c r="V124" s="765">
        <f t="shared" si="17"/>
        <v>0</v>
      </c>
      <c r="W124" s="901">
        <v>0</v>
      </c>
      <c r="X124" s="902">
        <v>0</v>
      </c>
      <c r="Y124" s="130"/>
      <c r="Z124" s="769">
        <f t="shared" si="18"/>
        <v>0</v>
      </c>
      <c r="AA124" s="904">
        <v>0</v>
      </c>
      <c r="AB124" s="771">
        <f t="shared" si="14"/>
        <v>0</v>
      </c>
      <c r="AD124" s="735" t="str">
        <f t="shared" si="19"/>
        <v>Florida Gateway College</v>
      </c>
      <c r="AE124" s="907">
        <v>0</v>
      </c>
      <c r="AF124" s="907">
        <v>0</v>
      </c>
      <c r="AG124" s="774">
        <f t="shared" si="15"/>
        <v>0</v>
      </c>
    </row>
    <row r="125" spans="1:54" ht="25.15" customHeight="1">
      <c r="A125" s="735" t="str">
        <f t="shared" si="7"/>
        <v>Lake-Sumter State College</v>
      </c>
      <c r="B125" s="879">
        <v>55</v>
      </c>
      <c r="C125" s="97"/>
      <c r="D125" s="756">
        <f t="shared" si="8"/>
        <v>55</v>
      </c>
      <c r="E125" s="879">
        <v>1998.7945075757575</v>
      </c>
      <c r="F125" s="882">
        <v>21.1875</v>
      </c>
      <c r="G125" s="756">
        <f t="shared" si="9"/>
        <v>2019.9820075757575</v>
      </c>
      <c r="H125" s="886">
        <v>471.07520993063162</v>
      </c>
      <c r="I125" s="887">
        <v>4.4775465498357061</v>
      </c>
      <c r="J125" s="756">
        <f t="shared" si="16"/>
        <v>475.55275648046734</v>
      </c>
      <c r="K125" s="892">
        <v>85.125850340136054</v>
      </c>
      <c r="L125" s="893">
        <v>1.8741496598639453</v>
      </c>
      <c r="M125" s="760">
        <f t="shared" si="10"/>
        <v>87</v>
      </c>
      <c r="N125" s="892">
        <v>0</v>
      </c>
      <c r="O125" s="893">
        <v>0</v>
      </c>
      <c r="P125" s="760">
        <f t="shared" si="11"/>
        <v>0</v>
      </c>
      <c r="Q125" s="892">
        <v>0</v>
      </c>
      <c r="R125" s="897">
        <v>0</v>
      </c>
      <c r="S125" s="756">
        <f t="shared" si="12"/>
        <v>0</v>
      </c>
      <c r="T125" s="85">
        <f t="shared" si="13"/>
        <v>2637.534764056225</v>
      </c>
      <c r="V125" s="765">
        <f t="shared" si="17"/>
        <v>0</v>
      </c>
      <c r="W125" s="901">
        <v>0</v>
      </c>
      <c r="X125" s="902">
        <v>0</v>
      </c>
      <c r="Y125" s="130"/>
      <c r="Z125" s="769">
        <f t="shared" si="18"/>
        <v>0</v>
      </c>
      <c r="AA125" s="904">
        <v>0</v>
      </c>
      <c r="AB125" s="771">
        <f t="shared" si="14"/>
        <v>0</v>
      </c>
      <c r="AD125" s="735" t="str">
        <f t="shared" si="19"/>
        <v>Lake-Sumter State College</v>
      </c>
      <c r="AE125" s="907">
        <v>0</v>
      </c>
      <c r="AF125" s="907">
        <v>0</v>
      </c>
      <c r="AG125" s="774">
        <f t="shared" si="15"/>
        <v>0</v>
      </c>
    </row>
    <row r="126" spans="1:54" ht="25.15" customHeight="1">
      <c r="A126" s="735" t="str">
        <f t="shared" si="7"/>
        <v>State College of Florida, Manatee-Sarasota</v>
      </c>
      <c r="B126" s="879">
        <v>440</v>
      </c>
      <c r="C126" s="97"/>
      <c r="D126" s="756">
        <f t="shared" si="8"/>
        <v>440</v>
      </c>
      <c r="E126" s="879">
        <v>4520.2806235687858</v>
      </c>
      <c r="F126" s="882">
        <v>196.11396864541132</v>
      </c>
      <c r="G126" s="756">
        <f t="shared" si="9"/>
        <v>4716.3945922141975</v>
      </c>
      <c r="H126" s="886">
        <v>540.25936073059358</v>
      </c>
      <c r="I126" s="887">
        <v>15.137899543378996</v>
      </c>
      <c r="J126" s="756">
        <f t="shared" si="16"/>
        <v>555.39726027397262</v>
      </c>
      <c r="K126" s="892">
        <v>175.0561797752809</v>
      </c>
      <c r="L126" s="893">
        <v>14.943820224719103</v>
      </c>
      <c r="M126" s="760">
        <f t="shared" si="10"/>
        <v>190</v>
      </c>
      <c r="N126" s="892">
        <v>23</v>
      </c>
      <c r="O126" s="893">
        <v>0</v>
      </c>
      <c r="P126" s="760">
        <f t="shared" si="11"/>
        <v>23</v>
      </c>
      <c r="Q126" s="892">
        <v>0</v>
      </c>
      <c r="R126" s="897">
        <v>0</v>
      </c>
      <c r="S126" s="756">
        <f t="shared" si="12"/>
        <v>0</v>
      </c>
      <c r="T126" s="85">
        <f t="shared" si="13"/>
        <v>5924.7918524881698</v>
      </c>
      <c r="V126" s="765">
        <f t="shared" si="17"/>
        <v>0</v>
      </c>
      <c r="W126" s="901">
        <v>0</v>
      </c>
      <c r="X126" s="902">
        <v>0</v>
      </c>
      <c r="Y126" s="130"/>
      <c r="Z126" s="769">
        <f t="shared" si="18"/>
        <v>0</v>
      </c>
      <c r="AA126" s="904">
        <v>0</v>
      </c>
      <c r="AB126" s="771">
        <f t="shared" si="14"/>
        <v>0</v>
      </c>
      <c r="AD126" s="735" t="str">
        <f t="shared" si="19"/>
        <v>State College of Florida, Manatee-Sarasota</v>
      </c>
      <c r="AE126" s="907">
        <v>0</v>
      </c>
      <c r="AF126" s="907">
        <v>0</v>
      </c>
      <c r="AG126" s="774">
        <f t="shared" si="15"/>
        <v>0</v>
      </c>
    </row>
    <row r="127" spans="1:54" ht="25.15" customHeight="1">
      <c r="A127" s="735" t="str">
        <f t="shared" si="7"/>
        <v>Miami Dade College</v>
      </c>
      <c r="B127" s="879">
        <v>1919</v>
      </c>
      <c r="C127" s="97"/>
      <c r="D127" s="756">
        <f t="shared" si="8"/>
        <v>1919</v>
      </c>
      <c r="E127" s="879">
        <v>31812.35421458905</v>
      </c>
      <c r="F127" s="882">
        <v>1419.3308966646023</v>
      </c>
      <c r="G127" s="756">
        <f t="shared" si="9"/>
        <v>33231.685111253653</v>
      </c>
      <c r="H127" s="886">
        <v>3681.1779310344828</v>
      </c>
      <c r="I127" s="887">
        <v>170.54971786833855</v>
      </c>
      <c r="J127" s="756">
        <f t="shared" si="16"/>
        <v>3851.7276489028213</v>
      </c>
      <c r="K127" s="892">
        <v>2497.0796373136623</v>
      </c>
      <c r="L127" s="893">
        <v>140.9203626863378</v>
      </c>
      <c r="M127" s="760">
        <f t="shared" si="10"/>
        <v>2638</v>
      </c>
      <c r="N127" s="892">
        <v>12.771929824561404</v>
      </c>
      <c r="O127" s="893">
        <v>0.22807017543859648</v>
      </c>
      <c r="P127" s="760">
        <f t="shared" si="11"/>
        <v>13</v>
      </c>
      <c r="Q127" s="892">
        <v>1137.8298443370907</v>
      </c>
      <c r="R127" s="897">
        <v>20.216854535695116</v>
      </c>
      <c r="S127" s="756">
        <f t="shared" si="12"/>
        <v>1158.0466988727858</v>
      </c>
      <c r="T127" s="85">
        <f t="shared" si="13"/>
        <v>42811.459459029262</v>
      </c>
      <c r="V127" s="765">
        <f t="shared" si="17"/>
        <v>0</v>
      </c>
      <c r="W127" s="901">
        <v>1</v>
      </c>
      <c r="X127" s="902">
        <v>1</v>
      </c>
      <c r="Y127" s="130"/>
      <c r="Z127" s="769">
        <f t="shared" si="18"/>
        <v>4.8239307268436278</v>
      </c>
      <c r="AA127" s="904">
        <v>1527.1760692731564</v>
      </c>
      <c r="AB127" s="771">
        <f t="shared" si="14"/>
        <v>1532</v>
      </c>
      <c r="AD127" s="735" t="str">
        <f t="shared" si="19"/>
        <v>Miami Dade College</v>
      </c>
      <c r="AE127" s="907">
        <v>1485</v>
      </c>
      <c r="AF127" s="907">
        <v>47</v>
      </c>
      <c r="AG127" s="774">
        <f t="shared" si="15"/>
        <v>1532</v>
      </c>
    </row>
    <row r="128" spans="1:54" ht="25.15" customHeight="1">
      <c r="A128" s="735" t="str">
        <f t="shared" si="7"/>
        <v>North Florida Community College</v>
      </c>
      <c r="B128" s="879">
        <v>18</v>
      </c>
      <c r="C128" s="97"/>
      <c r="D128" s="756">
        <f t="shared" si="8"/>
        <v>18</v>
      </c>
      <c r="E128" s="879">
        <v>371.85145937906674</v>
      </c>
      <c r="F128" s="882">
        <v>6.8350994608663322</v>
      </c>
      <c r="G128" s="756">
        <f t="shared" si="9"/>
        <v>378.68655883993307</v>
      </c>
      <c r="H128" s="886">
        <v>114.57345225603358</v>
      </c>
      <c r="I128" s="887">
        <v>1.3746065057712489</v>
      </c>
      <c r="J128" s="756">
        <f t="shared" si="16"/>
        <v>115.94805876180483</v>
      </c>
      <c r="K128" s="892">
        <v>10.698630136986301</v>
      </c>
      <c r="L128" s="893">
        <v>0.30136986301369867</v>
      </c>
      <c r="M128" s="760">
        <f t="shared" si="10"/>
        <v>11</v>
      </c>
      <c r="N128" s="892">
        <v>0</v>
      </c>
      <c r="O128" s="893">
        <v>0</v>
      </c>
      <c r="P128" s="760">
        <f t="shared" si="11"/>
        <v>0</v>
      </c>
      <c r="Q128" s="892">
        <v>104.45421577515866</v>
      </c>
      <c r="R128" s="897">
        <v>3.162284678150499</v>
      </c>
      <c r="S128" s="756">
        <f t="shared" si="12"/>
        <v>107.61650045330916</v>
      </c>
      <c r="T128" s="85">
        <f t="shared" si="13"/>
        <v>631.25111805504707</v>
      </c>
      <c r="V128" s="765">
        <f t="shared" si="17"/>
        <v>0</v>
      </c>
      <c r="W128" s="901">
        <v>0</v>
      </c>
      <c r="X128" s="902">
        <v>0</v>
      </c>
      <c r="Y128" s="130"/>
      <c r="Z128" s="769">
        <f t="shared" si="18"/>
        <v>0</v>
      </c>
      <c r="AA128" s="904">
        <v>0</v>
      </c>
      <c r="AB128" s="771">
        <f t="shared" si="14"/>
        <v>0</v>
      </c>
      <c r="AD128" s="735" t="str">
        <f t="shared" si="19"/>
        <v>North Florida Community College</v>
      </c>
      <c r="AE128" s="907">
        <v>0</v>
      </c>
      <c r="AF128" s="907">
        <v>0</v>
      </c>
      <c r="AG128" s="774">
        <f t="shared" si="15"/>
        <v>0</v>
      </c>
    </row>
    <row r="129" spans="1:48" ht="25.15" customHeight="1">
      <c r="A129" s="735" t="str">
        <f t="shared" si="7"/>
        <v>Northwest Florida State College</v>
      </c>
      <c r="B129" s="879">
        <v>330</v>
      </c>
      <c r="C129" s="97"/>
      <c r="D129" s="756">
        <f t="shared" si="8"/>
        <v>330</v>
      </c>
      <c r="E129" s="879">
        <v>2040.6294067067929</v>
      </c>
      <c r="F129" s="882">
        <v>59.989681857265694</v>
      </c>
      <c r="G129" s="756">
        <f t="shared" si="9"/>
        <v>2100.6190885640585</v>
      </c>
      <c r="H129" s="886">
        <v>530.5229482691559</v>
      </c>
      <c r="I129" s="887">
        <v>9.4640217814080128</v>
      </c>
      <c r="J129" s="756">
        <f t="shared" si="16"/>
        <v>539.98697005056397</v>
      </c>
      <c r="K129" s="892">
        <v>87.660751565761998</v>
      </c>
      <c r="L129" s="893">
        <v>5.3392484342379953</v>
      </c>
      <c r="M129" s="760">
        <f t="shared" si="10"/>
        <v>93</v>
      </c>
      <c r="N129" s="892">
        <v>0</v>
      </c>
      <c r="O129" s="893">
        <v>0</v>
      </c>
      <c r="P129" s="760">
        <f t="shared" si="11"/>
        <v>0</v>
      </c>
      <c r="Q129" s="892">
        <v>170.3</v>
      </c>
      <c r="R129" s="897">
        <v>3.6999999999999997</v>
      </c>
      <c r="S129" s="756">
        <f t="shared" si="12"/>
        <v>174</v>
      </c>
      <c r="T129" s="85">
        <f t="shared" si="13"/>
        <v>3237.6060586146223</v>
      </c>
      <c r="V129" s="765">
        <f t="shared" si="17"/>
        <v>0</v>
      </c>
      <c r="W129" s="901">
        <v>0</v>
      </c>
      <c r="X129" s="902">
        <v>0</v>
      </c>
      <c r="Y129" s="130"/>
      <c r="Z129" s="769">
        <f t="shared" si="18"/>
        <v>126.29612034837687</v>
      </c>
      <c r="AA129" s="904">
        <v>0.70387965162311961</v>
      </c>
      <c r="AB129" s="771">
        <f t="shared" si="14"/>
        <v>127</v>
      </c>
      <c r="AD129" s="735" t="str">
        <f t="shared" si="19"/>
        <v>Northwest Florida State College</v>
      </c>
      <c r="AE129" s="907">
        <v>94</v>
      </c>
      <c r="AF129" s="907">
        <v>33</v>
      </c>
      <c r="AG129" s="774">
        <f t="shared" si="15"/>
        <v>127</v>
      </c>
    </row>
    <row r="130" spans="1:48" ht="25.15" customHeight="1">
      <c r="A130" s="735" t="str">
        <f t="shared" si="7"/>
        <v>Palm Beach State College</v>
      </c>
      <c r="B130" s="879">
        <v>834</v>
      </c>
      <c r="C130" s="97"/>
      <c r="D130" s="756">
        <f t="shared" si="8"/>
        <v>834</v>
      </c>
      <c r="E130" s="879">
        <v>15189.839901492627</v>
      </c>
      <c r="F130" s="882">
        <v>503.20842117908518</v>
      </c>
      <c r="G130" s="756">
        <f t="shared" si="9"/>
        <v>15693.048322671712</v>
      </c>
      <c r="H130" s="886">
        <v>1522.3594401041667</v>
      </c>
      <c r="I130" s="887">
        <v>33.494140625</v>
      </c>
      <c r="J130" s="756">
        <f t="shared" si="16"/>
        <v>1555.8535807291667</v>
      </c>
      <c r="K130" s="892">
        <v>700.31644159821803</v>
      </c>
      <c r="L130" s="893">
        <v>38.683558401781994</v>
      </c>
      <c r="M130" s="760">
        <f t="shared" si="10"/>
        <v>739</v>
      </c>
      <c r="N130" s="892">
        <v>33</v>
      </c>
      <c r="O130" s="893">
        <v>0</v>
      </c>
      <c r="P130" s="760">
        <f t="shared" si="11"/>
        <v>33</v>
      </c>
      <c r="Q130" s="892">
        <v>896.32734113712377</v>
      </c>
      <c r="R130" s="897">
        <v>9.5848662207357851</v>
      </c>
      <c r="S130" s="756">
        <f t="shared" si="12"/>
        <v>905.91220735785953</v>
      </c>
      <c r="T130" s="85">
        <f t="shared" si="13"/>
        <v>19760.814110758736</v>
      </c>
      <c r="V130" s="765">
        <f t="shared" si="17"/>
        <v>0</v>
      </c>
      <c r="W130" s="901">
        <v>0</v>
      </c>
      <c r="X130" s="902">
        <v>0</v>
      </c>
      <c r="Y130" s="130"/>
      <c r="Z130" s="769">
        <f t="shared" si="18"/>
        <v>0</v>
      </c>
      <c r="AA130" s="904">
        <v>0</v>
      </c>
      <c r="AB130" s="771">
        <f t="shared" si="14"/>
        <v>0</v>
      </c>
      <c r="AD130" s="735" t="str">
        <f t="shared" si="19"/>
        <v>Palm Beach State College</v>
      </c>
      <c r="AE130" s="907">
        <v>0</v>
      </c>
      <c r="AF130" s="907">
        <v>0</v>
      </c>
      <c r="AG130" s="774">
        <f t="shared" si="15"/>
        <v>0</v>
      </c>
    </row>
    <row r="131" spans="1:48" ht="25.15" customHeight="1">
      <c r="A131" s="735" t="str">
        <f t="shared" si="7"/>
        <v>Pasco-Hernando State College</v>
      </c>
      <c r="B131" s="879">
        <v>371</v>
      </c>
      <c r="C131" s="97"/>
      <c r="D131" s="756">
        <f t="shared" si="8"/>
        <v>371</v>
      </c>
      <c r="E131" s="879">
        <v>3567.9913647289236</v>
      </c>
      <c r="F131" s="882">
        <v>28.493990919611857</v>
      </c>
      <c r="G131" s="756">
        <f t="shared" si="9"/>
        <v>3596.4853556485355</v>
      </c>
      <c r="H131" s="886">
        <v>1884.3940046928124</v>
      </c>
      <c r="I131" s="887">
        <v>16.393717377771388</v>
      </c>
      <c r="J131" s="756">
        <f t="shared" si="16"/>
        <v>1900.7877220705836</v>
      </c>
      <c r="K131" s="892">
        <v>304.88786127167629</v>
      </c>
      <c r="L131" s="893">
        <v>6.1121387283236999</v>
      </c>
      <c r="M131" s="760">
        <f t="shared" si="10"/>
        <v>311</v>
      </c>
      <c r="N131" s="892">
        <v>10.615</v>
      </c>
      <c r="O131" s="893">
        <v>0.38499999999999995</v>
      </c>
      <c r="P131" s="760">
        <f t="shared" si="11"/>
        <v>11</v>
      </c>
      <c r="Q131" s="892">
        <v>333.69443626729463</v>
      </c>
      <c r="R131" s="897">
        <v>2.6022961436561673</v>
      </c>
      <c r="S131" s="756">
        <f t="shared" si="12"/>
        <v>336.29673241095082</v>
      </c>
      <c r="T131" s="85">
        <f t="shared" si="13"/>
        <v>6526.5698101300695</v>
      </c>
      <c r="V131" s="765">
        <f t="shared" si="17"/>
        <v>0</v>
      </c>
      <c r="W131" s="901">
        <v>0</v>
      </c>
      <c r="X131" s="902">
        <v>0</v>
      </c>
      <c r="Y131" s="130"/>
      <c r="Z131" s="769">
        <f t="shared" si="18"/>
        <v>0</v>
      </c>
      <c r="AA131" s="904">
        <v>0</v>
      </c>
      <c r="AB131" s="771">
        <f t="shared" si="14"/>
        <v>0</v>
      </c>
      <c r="AD131" s="735" t="str">
        <f t="shared" si="19"/>
        <v>Pasco-Hernando State College</v>
      </c>
      <c r="AE131" s="907">
        <v>0</v>
      </c>
      <c r="AF131" s="907">
        <v>0</v>
      </c>
      <c r="AG131" s="774">
        <f t="shared" si="15"/>
        <v>0</v>
      </c>
    </row>
    <row r="132" spans="1:48" ht="25.15" customHeight="1">
      <c r="A132" s="735" t="str">
        <f t="shared" si="7"/>
        <v>Pensacola State College</v>
      </c>
      <c r="B132" s="879">
        <v>408</v>
      </c>
      <c r="C132" s="97"/>
      <c r="D132" s="756">
        <f t="shared" si="8"/>
        <v>408</v>
      </c>
      <c r="E132" s="879">
        <v>3611.7920598103906</v>
      </c>
      <c r="F132" s="882">
        <v>68.766185511293259</v>
      </c>
      <c r="G132" s="756">
        <f t="shared" si="9"/>
        <v>3680.5582453216839</v>
      </c>
      <c r="H132" s="886">
        <v>1535.6474212993971</v>
      </c>
      <c r="I132" s="887">
        <v>22.414333556597455</v>
      </c>
      <c r="J132" s="756">
        <f t="shared" si="16"/>
        <v>1558.0617548559946</v>
      </c>
      <c r="K132" s="892">
        <v>220.52690166975881</v>
      </c>
      <c r="L132" s="893">
        <v>9.4730983302411875</v>
      </c>
      <c r="M132" s="760">
        <f t="shared" si="10"/>
        <v>230</v>
      </c>
      <c r="N132" s="892">
        <v>0</v>
      </c>
      <c r="O132" s="893">
        <v>0</v>
      </c>
      <c r="P132" s="760">
        <f t="shared" si="11"/>
        <v>0</v>
      </c>
      <c r="Q132" s="892">
        <v>388.38718014990951</v>
      </c>
      <c r="R132" s="897">
        <v>1.6128198500904629</v>
      </c>
      <c r="S132" s="756">
        <f t="shared" si="12"/>
        <v>390</v>
      </c>
      <c r="T132" s="85">
        <f t="shared" si="13"/>
        <v>6266.6200001776788</v>
      </c>
      <c r="V132" s="765">
        <f t="shared" si="17"/>
        <v>0</v>
      </c>
      <c r="W132" s="901">
        <v>0</v>
      </c>
      <c r="X132" s="902">
        <v>0</v>
      </c>
      <c r="Y132" s="130"/>
      <c r="Z132" s="769">
        <f t="shared" si="18"/>
        <v>283.74184689323721</v>
      </c>
      <c r="AA132" s="904">
        <v>5.2581531067627871</v>
      </c>
      <c r="AB132" s="771">
        <f t="shared" si="14"/>
        <v>289</v>
      </c>
      <c r="AD132" s="735" t="str">
        <f t="shared" si="19"/>
        <v>Pensacola State College</v>
      </c>
      <c r="AE132" s="907">
        <v>106</v>
      </c>
      <c r="AF132" s="907">
        <v>183</v>
      </c>
      <c r="AG132" s="774">
        <f t="shared" si="15"/>
        <v>289</v>
      </c>
    </row>
    <row r="133" spans="1:48" ht="25.15" customHeight="1">
      <c r="A133" s="735" t="str">
        <f t="shared" si="7"/>
        <v>Polk State College</v>
      </c>
      <c r="B133" s="879">
        <v>767</v>
      </c>
      <c r="C133" s="97"/>
      <c r="D133" s="756">
        <f t="shared" si="8"/>
        <v>767</v>
      </c>
      <c r="E133" s="879">
        <v>3305.2920124876264</v>
      </c>
      <c r="F133" s="882">
        <v>53.740577172009438</v>
      </c>
      <c r="G133" s="756">
        <f t="shared" si="9"/>
        <v>3359.032589659636</v>
      </c>
      <c r="H133" s="886">
        <v>1473.1000454456923</v>
      </c>
      <c r="I133" s="887">
        <v>19.125884567941309</v>
      </c>
      <c r="J133" s="756">
        <f t="shared" si="16"/>
        <v>1492.2259300136336</v>
      </c>
      <c r="K133" s="892">
        <v>154.20423892100192</v>
      </c>
      <c r="L133" s="893">
        <v>9.7957610789980745</v>
      </c>
      <c r="M133" s="760">
        <f t="shared" si="10"/>
        <v>164</v>
      </c>
      <c r="N133" s="892">
        <v>64</v>
      </c>
      <c r="O133" s="893">
        <v>0</v>
      </c>
      <c r="P133" s="760">
        <f t="shared" si="11"/>
        <v>64</v>
      </c>
      <c r="Q133" s="892">
        <v>96</v>
      </c>
      <c r="R133" s="897">
        <v>0</v>
      </c>
      <c r="S133" s="756">
        <f t="shared" si="12"/>
        <v>96</v>
      </c>
      <c r="T133" s="85">
        <f t="shared" si="13"/>
        <v>5942.2585196732698</v>
      </c>
      <c r="V133" s="765">
        <f t="shared" si="17"/>
        <v>0</v>
      </c>
      <c r="W133" s="901">
        <v>0</v>
      </c>
      <c r="X133" s="902">
        <v>0</v>
      </c>
      <c r="Y133" s="130"/>
      <c r="Z133" s="769">
        <f t="shared" si="18"/>
        <v>0</v>
      </c>
      <c r="AA133" s="904">
        <v>0</v>
      </c>
      <c r="AB133" s="771">
        <f t="shared" si="14"/>
        <v>0</v>
      </c>
      <c r="AD133" s="735" t="str">
        <f t="shared" si="19"/>
        <v>Polk State College</v>
      </c>
      <c r="AE133" s="907">
        <v>0</v>
      </c>
      <c r="AF133" s="907">
        <v>0</v>
      </c>
      <c r="AG133" s="774">
        <f t="shared" si="15"/>
        <v>0</v>
      </c>
    </row>
    <row r="134" spans="1:48" ht="25.15" customHeight="1">
      <c r="A134" s="735" t="str">
        <f t="shared" si="7"/>
        <v>St. Johns River State College</v>
      </c>
      <c r="B134" s="879">
        <v>212</v>
      </c>
      <c r="C134" s="97"/>
      <c r="D134" s="756">
        <f t="shared" si="8"/>
        <v>212</v>
      </c>
      <c r="E134" s="879">
        <v>2356.6673941510262</v>
      </c>
      <c r="F134" s="882">
        <v>44.620253164556964</v>
      </c>
      <c r="G134" s="756">
        <f t="shared" si="9"/>
        <v>2401.2876473155829</v>
      </c>
      <c r="H134" s="886">
        <v>781.16913248150638</v>
      </c>
      <c r="I134" s="887">
        <v>9.2609280430396783</v>
      </c>
      <c r="J134" s="756">
        <f t="shared" si="16"/>
        <v>790.43006052454609</v>
      </c>
      <c r="K134" s="892">
        <v>57.741530740276033</v>
      </c>
      <c r="L134" s="893">
        <v>2.2584692597239648</v>
      </c>
      <c r="M134" s="760">
        <f t="shared" si="10"/>
        <v>60</v>
      </c>
      <c r="N134" s="892">
        <v>30.780141843971631</v>
      </c>
      <c r="O134" s="893">
        <v>0.21985815602836881</v>
      </c>
      <c r="P134" s="760">
        <f t="shared" si="11"/>
        <v>31</v>
      </c>
      <c r="Q134" s="892">
        <v>119.82190132370638</v>
      </c>
      <c r="R134" s="897">
        <v>2.0890493381468112</v>
      </c>
      <c r="S134" s="756">
        <f t="shared" si="12"/>
        <v>121.91095066185319</v>
      </c>
      <c r="T134" s="85">
        <f t="shared" si="13"/>
        <v>3616.6286585019825</v>
      </c>
      <c r="V134" s="765">
        <f t="shared" si="17"/>
        <v>0</v>
      </c>
      <c r="W134" s="901">
        <v>0</v>
      </c>
      <c r="X134" s="902">
        <v>0</v>
      </c>
      <c r="Y134" s="130"/>
      <c r="Z134" s="769">
        <f t="shared" si="18"/>
        <v>48</v>
      </c>
      <c r="AA134" s="904">
        <v>0</v>
      </c>
      <c r="AB134" s="771">
        <f t="shared" si="14"/>
        <v>48</v>
      </c>
      <c r="AD134" s="735" t="str">
        <f t="shared" si="19"/>
        <v>St. Johns River State College</v>
      </c>
      <c r="AE134" s="907">
        <v>31</v>
      </c>
      <c r="AF134" s="907">
        <v>17</v>
      </c>
      <c r="AG134" s="774">
        <f t="shared" si="15"/>
        <v>48</v>
      </c>
    </row>
    <row r="135" spans="1:48" ht="25.15" customHeight="1">
      <c r="A135" s="735" t="str">
        <f t="shared" si="7"/>
        <v>St. Petersburg College</v>
      </c>
      <c r="B135" s="879">
        <v>2753</v>
      </c>
      <c r="C135" s="97"/>
      <c r="D135" s="756">
        <f t="shared" si="8"/>
        <v>2753</v>
      </c>
      <c r="E135" s="879">
        <v>8574.4101583243191</v>
      </c>
      <c r="F135" s="882">
        <v>309.56828596715508</v>
      </c>
      <c r="G135" s="756">
        <f t="shared" si="9"/>
        <v>8883.9784442914734</v>
      </c>
      <c r="H135" s="886">
        <v>4608.1676003248722</v>
      </c>
      <c r="I135" s="887">
        <v>137.94052354276434</v>
      </c>
      <c r="J135" s="756">
        <f t="shared" si="16"/>
        <v>4746.1081238676361</v>
      </c>
      <c r="K135" s="892">
        <v>647.20391423226363</v>
      </c>
      <c r="L135" s="893">
        <v>42.796085767736365</v>
      </c>
      <c r="M135" s="760">
        <f t="shared" si="10"/>
        <v>690</v>
      </c>
      <c r="N135" s="892">
        <v>0</v>
      </c>
      <c r="O135" s="893">
        <v>0</v>
      </c>
      <c r="P135" s="760">
        <f t="shared" si="11"/>
        <v>0</v>
      </c>
      <c r="Q135" s="892">
        <v>180.16213389121339</v>
      </c>
      <c r="R135" s="897">
        <v>9.8378661087866117</v>
      </c>
      <c r="S135" s="756">
        <f t="shared" si="12"/>
        <v>190</v>
      </c>
      <c r="T135" s="85">
        <f t="shared" si="13"/>
        <v>17263.086568159109</v>
      </c>
      <c r="V135" s="765">
        <f t="shared" si="17"/>
        <v>0</v>
      </c>
      <c r="W135" s="901">
        <v>0</v>
      </c>
      <c r="X135" s="902">
        <v>0</v>
      </c>
      <c r="Y135" s="130"/>
      <c r="Z135" s="769">
        <f t="shared" si="18"/>
        <v>0</v>
      </c>
      <c r="AA135" s="904">
        <v>0</v>
      </c>
      <c r="AB135" s="771">
        <f t="shared" si="14"/>
        <v>0</v>
      </c>
      <c r="AD135" s="735" t="str">
        <f t="shared" si="19"/>
        <v>St. Petersburg College</v>
      </c>
      <c r="AE135" s="907">
        <v>0</v>
      </c>
      <c r="AF135" s="907">
        <v>0</v>
      </c>
      <c r="AG135" s="774">
        <f t="shared" si="15"/>
        <v>0</v>
      </c>
    </row>
    <row r="136" spans="1:48" ht="25.15" customHeight="1">
      <c r="A136" s="735" t="str">
        <f t="shared" si="7"/>
        <v>Santa Fe College</v>
      </c>
      <c r="B136" s="879">
        <v>475</v>
      </c>
      <c r="C136" s="97"/>
      <c r="D136" s="756">
        <f t="shared" si="8"/>
        <v>475</v>
      </c>
      <c r="E136" s="879">
        <v>6012.4971816515799</v>
      </c>
      <c r="F136" s="882">
        <v>464.50792747264956</v>
      </c>
      <c r="G136" s="756">
        <f t="shared" si="9"/>
        <v>6477.0051091242294</v>
      </c>
      <c r="H136" s="886">
        <v>2200.3531701409911</v>
      </c>
      <c r="I136" s="887">
        <v>106.95454545454545</v>
      </c>
      <c r="J136" s="756">
        <f t="shared" si="16"/>
        <v>2307.3077155955366</v>
      </c>
      <c r="K136" s="892">
        <v>292.49250936329588</v>
      </c>
      <c r="L136" s="893">
        <v>78.507490636704119</v>
      </c>
      <c r="M136" s="760">
        <f t="shared" si="10"/>
        <v>371</v>
      </c>
      <c r="N136" s="892">
        <v>10.24390243902439</v>
      </c>
      <c r="O136" s="893">
        <v>1.75609756097561</v>
      </c>
      <c r="P136" s="760">
        <f t="shared" si="11"/>
        <v>12</v>
      </c>
      <c r="Q136" s="892">
        <v>240.99593165174937</v>
      </c>
      <c r="R136" s="897">
        <v>4.6037428803905609</v>
      </c>
      <c r="S136" s="756">
        <f t="shared" si="12"/>
        <v>245.59967453213994</v>
      </c>
      <c r="T136" s="85">
        <f t="shared" si="13"/>
        <v>9887.9124992519064</v>
      </c>
      <c r="V136" s="765">
        <f t="shared" si="17"/>
        <v>0</v>
      </c>
      <c r="W136" s="901">
        <v>0</v>
      </c>
      <c r="X136" s="902">
        <v>0</v>
      </c>
      <c r="Y136" s="130"/>
      <c r="Z136" s="769">
        <f t="shared" si="18"/>
        <v>27.736961451247168</v>
      </c>
      <c r="AA136" s="904">
        <v>104.26303854875283</v>
      </c>
      <c r="AB136" s="771">
        <f t="shared" si="14"/>
        <v>132</v>
      </c>
      <c r="AD136" s="735" t="str">
        <f t="shared" si="19"/>
        <v>Santa Fe College</v>
      </c>
      <c r="AE136" s="907">
        <v>128</v>
      </c>
      <c r="AF136" s="907">
        <v>4</v>
      </c>
      <c r="AG136" s="774">
        <f t="shared" si="15"/>
        <v>132</v>
      </c>
    </row>
    <row r="137" spans="1:48" ht="25.15" customHeight="1">
      <c r="A137" s="735" t="str">
        <f t="shared" si="7"/>
        <v>Seminole State College of Florida</v>
      </c>
      <c r="B137" s="879">
        <v>972</v>
      </c>
      <c r="C137" s="97"/>
      <c r="D137" s="756">
        <f t="shared" si="8"/>
        <v>972</v>
      </c>
      <c r="E137" s="879">
        <v>6538.8666903712128</v>
      </c>
      <c r="F137" s="882">
        <v>176.23773289716968</v>
      </c>
      <c r="G137" s="756">
        <f t="shared" si="9"/>
        <v>6715.1044232683826</v>
      </c>
      <c r="H137" s="886">
        <v>2573.6376304155615</v>
      </c>
      <c r="I137" s="887">
        <v>118.41828470380194</v>
      </c>
      <c r="J137" s="756">
        <f t="shared" si="16"/>
        <v>2692.0559151193634</v>
      </c>
      <c r="K137" s="892">
        <v>267.76497102382484</v>
      </c>
      <c r="L137" s="893">
        <v>23.235028976175144</v>
      </c>
      <c r="M137" s="760">
        <f t="shared" si="10"/>
        <v>291</v>
      </c>
      <c r="N137" s="892">
        <v>66.861491628614914</v>
      </c>
      <c r="O137" s="893">
        <v>1.1385083713850837</v>
      </c>
      <c r="P137" s="760">
        <f t="shared" si="11"/>
        <v>68</v>
      </c>
      <c r="Q137" s="892">
        <v>202.98562628336757</v>
      </c>
      <c r="R137" s="897">
        <v>27.014373716632445</v>
      </c>
      <c r="S137" s="756">
        <f t="shared" si="12"/>
        <v>230</v>
      </c>
      <c r="T137" s="85">
        <f t="shared" si="13"/>
        <v>10968.160338387746</v>
      </c>
      <c r="V137" s="765">
        <f t="shared" si="17"/>
        <v>0</v>
      </c>
      <c r="W137" s="901">
        <v>0</v>
      </c>
      <c r="X137" s="902">
        <v>0</v>
      </c>
      <c r="Y137" s="130"/>
      <c r="Z137" s="769">
        <f t="shared" si="18"/>
        <v>255.75912690747532</v>
      </c>
      <c r="AA137" s="904">
        <v>259.24087309252468</v>
      </c>
      <c r="AB137" s="771">
        <f t="shared" si="14"/>
        <v>515</v>
      </c>
      <c r="AD137" s="735" t="str">
        <f t="shared" si="19"/>
        <v>Seminole State College of Florida</v>
      </c>
      <c r="AE137" s="907">
        <v>351</v>
      </c>
      <c r="AF137" s="907">
        <v>164</v>
      </c>
      <c r="AG137" s="774">
        <f t="shared" si="15"/>
        <v>515</v>
      </c>
    </row>
    <row r="138" spans="1:48" ht="25.15" customHeight="1">
      <c r="A138" s="735" t="str">
        <f t="shared" si="7"/>
        <v>South Florida State College</v>
      </c>
      <c r="B138" s="879">
        <v>117</v>
      </c>
      <c r="C138" s="97"/>
      <c r="D138" s="756">
        <f t="shared" si="8"/>
        <v>117</v>
      </c>
      <c r="E138" s="879">
        <v>1181.4526715486845</v>
      </c>
      <c r="F138" s="882">
        <v>13.474369406021157</v>
      </c>
      <c r="G138" s="756">
        <f t="shared" si="9"/>
        <v>1194.9270409547057</v>
      </c>
      <c r="H138" s="886">
        <v>3</v>
      </c>
      <c r="I138" s="887">
        <v>0</v>
      </c>
      <c r="J138" s="756">
        <f t="shared" si="16"/>
        <v>3</v>
      </c>
      <c r="K138" s="892">
        <v>30.4</v>
      </c>
      <c r="L138" s="893">
        <v>0.6</v>
      </c>
      <c r="M138" s="760">
        <f t="shared" si="10"/>
        <v>31</v>
      </c>
      <c r="N138" s="892">
        <v>0</v>
      </c>
      <c r="O138" s="893">
        <v>0</v>
      </c>
      <c r="P138" s="760">
        <f t="shared" si="11"/>
        <v>0</v>
      </c>
      <c r="Q138" s="892">
        <v>240.17168863779034</v>
      </c>
      <c r="R138" s="897">
        <v>3.9538606403013179</v>
      </c>
      <c r="S138" s="756">
        <f t="shared" si="12"/>
        <v>244.12554927809165</v>
      </c>
      <c r="T138" s="85">
        <f t="shared" si="13"/>
        <v>1590.0525902327975</v>
      </c>
      <c r="V138" s="765">
        <f t="shared" si="17"/>
        <v>0</v>
      </c>
      <c r="W138" s="901">
        <v>0</v>
      </c>
      <c r="X138" s="902">
        <v>0</v>
      </c>
      <c r="Y138" s="130"/>
      <c r="Z138" s="769">
        <f t="shared" si="18"/>
        <v>165.86307396205663</v>
      </c>
      <c r="AA138" s="904">
        <v>166.13692603794337</v>
      </c>
      <c r="AB138" s="771">
        <f t="shared" si="14"/>
        <v>332</v>
      </c>
      <c r="AD138" s="735" t="str">
        <f t="shared" si="19"/>
        <v>South Florida State College</v>
      </c>
      <c r="AE138" s="907">
        <v>314</v>
      </c>
      <c r="AF138" s="907">
        <v>18</v>
      </c>
      <c r="AG138" s="774">
        <f t="shared" si="15"/>
        <v>332</v>
      </c>
    </row>
    <row r="139" spans="1:48" ht="25.15" customHeight="1">
      <c r="A139" s="735" t="str">
        <f t="shared" si="7"/>
        <v>Tallahassee Community College</v>
      </c>
      <c r="B139" s="879">
        <v>17</v>
      </c>
      <c r="C139" s="97"/>
      <c r="D139" s="756">
        <f t="shared" si="8"/>
        <v>17</v>
      </c>
      <c r="E139" s="879">
        <v>6794.3154886285511</v>
      </c>
      <c r="F139" s="882">
        <v>345.56985318899393</v>
      </c>
      <c r="G139" s="756">
        <f t="shared" si="9"/>
        <v>7139.8853418175449</v>
      </c>
      <c r="H139" s="886">
        <v>1032.9677972560974</v>
      </c>
      <c r="I139" s="887">
        <v>31.413681402439025</v>
      </c>
      <c r="J139" s="756">
        <f t="shared" si="16"/>
        <v>1064.3814786585365</v>
      </c>
      <c r="K139" s="892">
        <v>201.10888686684865</v>
      </c>
      <c r="L139" s="893">
        <v>30.89111313315135</v>
      </c>
      <c r="M139" s="760">
        <f t="shared" si="10"/>
        <v>232</v>
      </c>
      <c r="N139" s="892">
        <v>0</v>
      </c>
      <c r="O139" s="893">
        <v>0</v>
      </c>
      <c r="P139" s="760">
        <f t="shared" si="11"/>
        <v>0</v>
      </c>
      <c r="Q139" s="892">
        <v>342.40092969203954</v>
      </c>
      <c r="R139" s="897">
        <v>1.5990703079604884</v>
      </c>
      <c r="S139" s="756">
        <f t="shared" si="12"/>
        <v>344</v>
      </c>
      <c r="T139" s="85">
        <f t="shared" si="13"/>
        <v>8797.2668204760812</v>
      </c>
      <c r="V139" s="765">
        <f t="shared" si="17"/>
        <v>0</v>
      </c>
      <c r="W139" s="901">
        <v>0</v>
      </c>
      <c r="X139" s="902">
        <v>0</v>
      </c>
      <c r="Y139" s="130"/>
      <c r="Z139" s="769">
        <f t="shared" si="18"/>
        <v>7.021367521367516</v>
      </c>
      <c r="AA139" s="904">
        <v>45.978632478632484</v>
      </c>
      <c r="AB139" s="771">
        <f t="shared" si="14"/>
        <v>53</v>
      </c>
      <c r="AD139" s="735" t="str">
        <f t="shared" si="19"/>
        <v>Tallahassee Community College</v>
      </c>
      <c r="AE139" s="907">
        <v>48</v>
      </c>
      <c r="AF139" s="907">
        <v>5</v>
      </c>
      <c r="AG139" s="774">
        <f t="shared" si="15"/>
        <v>53</v>
      </c>
    </row>
    <row r="140" spans="1:48" ht="25.15" customHeight="1" thickBot="1">
      <c r="A140" s="736" t="str">
        <f t="shared" si="7"/>
        <v>Valencia College</v>
      </c>
      <c r="B140" s="880">
        <v>458</v>
      </c>
      <c r="C140" s="92"/>
      <c r="D140" s="757">
        <f t="shared" si="8"/>
        <v>458</v>
      </c>
      <c r="E140" s="880">
        <v>19216.157186617264</v>
      </c>
      <c r="F140" s="883">
        <v>1310.9947448549101</v>
      </c>
      <c r="G140" s="757">
        <f t="shared" si="9"/>
        <v>20527.151931472174</v>
      </c>
      <c r="H140" s="888">
        <v>7257.3261303869203</v>
      </c>
      <c r="I140" s="889">
        <v>413.08190973213192</v>
      </c>
      <c r="J140" s="759">
        <f t="shared" si="16"/>
        <v>7670.4080401190522</v>
      </c>
      <c r="K140" s="894">
        <v>1067.5561280824438</v>
      </c>
      <c r="L140" s="895">
        <v>152.44387191755615</v>
      </c>
      <c r="M140" s="761">
        <f t="shared" si="10"/>
        <v>1220</v>
      </c>
      <c r="N140" s="894">
        <v>76.537537537537531</v>
      </c>
      <c r="O140" s="895">
        <v>0.46246246246246236</v>
      </c>
      <c r="P140" s="761">
        <f t="shared" si="11"/>
        <v>77</v>
      </c>
      <c r="Q140" s="894">
        <v>293.01487603305787</v>
      </c>
      <c r="R140" s="898">
        <v>8.9851239669421492</v>
      </c>
      <c r="S140" s="757">
        <f t="shared" si="12"/>
        <v>302</v>
      </c>
      <c r="T140" s="86">
        <f t="shared" si="13"/>
        <v>30254.559971591225</v>
      </c>
      <c r="V140" s="766">
        <f t="shared" si="17"/>
        <v>0</v>
      </c>
      <c r="W140" s="899">
        <v>0</v>
      </c>
      <c r="X140" s="900">
        <v>0</v>
      </c>
      <c r="Y140" s="130"/>
      <c r="Z140" s="770">
        <f t="shared" si="18"/>
        <v>0</v>
      </c>
      <c r="AA140" s="905">
        <v>0</v>
      </c>
      <c r="AB140" s="771">
        <f t="shared" si="14"/>
        <v>0</v>
      </c>
      <c r="AD140" s="736" t="str">
        <f t="shared" si="19"/>
        <v>Valencia College</v>
      </c>
      <c r="AE140" s="908">
        <v>0</v>
      </c>
      <c r="AF140" s="908">
        <v>0</v>
      </c>
      <c r="AG140" s="757">
        <f t="shared" si="15"/>
        <v>0</v>
      </c>
    </row>
    <row r="141" spans="1:48" ht="25.15" customHeight="1" thickBot="1">
      <c r="A141" s="737" t="s">
        <v>2</v>
      </c>
      <c r="B141" s="738">
        <f t="shared" ref="B141" si="20">SUM(B113:B140)</f>
        <v>17842</v>
      </c>
      <c r="C141" s="114"/>
      <c r="D141" s="758">
        <f t="shared" ref="D141:T141" si="21">SUM(D113:D140)</f>
        <v>17842</v>
      </c>
      <c r="E141" s="738">
        <f t="shared" si="21"/>
        <v>181633.38560182907</v>
      </c>
      <c r="F141" s="739">
        <f t="shared" si="21"/>
        <v>7522.6759951655768</v>
      </c>
      <c r="G141" s="758">
        <f t="shared" si="21"/>
        <v>189156.06159699467</v>
      </c>
      <c r="H141" s="779">
        <f t="shared" si="21"/>
        <v>53193.871475754218</v>
      </c>
      <c r="I141" s="739">
        <f t="shared" si="21"/>
        <v>1868.0856120059245</v>
      </c>
      <c r="J141" s="758">
        <f t="shared" si="21"/>
        <v>55061.957087760144</v>
      </c>
      <c r="K141" s="779">
        <f t="shared" si="21"/>
        <v>10876.833509557811</v>
      </c>
      <c r="L141" s="781">
        <f t="shared" si="21"/>
        <v>893.16649044218889</v>
      </c>
      <c r="M141" s="762">
        <f t="shared" si="21"/>
        <v>11770</v>
      </c>
      <c r="N141" s="779">
        <f t="shared" si="21"/>
        <v>432.8301378310573</v>
      </c>
      <c r="O141" s="781">
        <f t="shared" si="21"/>
        <v>6.1698621689427773</v>
      </c>
      <c r="P141" s="762">
        <f t="shared" si="21"/>
        <v>439</v>
      </c>
      <c r="Q141" s="778">
        <f t="shared" si="21"/>
        <v>8724.145510857019</v>
      </c>
      <c r="R141" s="780">
        <f t="shared" si="21"/>
        <v>224.07462552275894</v>
      </c>
      <c r="S141" s="763">
        <f t="shared" si="21"/>
        <v>8948.2201363797758</v>
      </c>
      <c r="T141" s="115">
        <f t="shared" si="21"/>
        <v>283217.23882113455</v>
      </c>
      <c r="U141" s="116"/>
      <c r="V141" s="767">
        <f t="shared" ref="V141:AB141" si="22">SUM(V113:V140)</f>
        <v>3</v>
      </c>
      <c r="W141" s="779">
        <f t="shared" si="22"/>
        <v>4</v>
      </c>
      <c r="X141" s="777">
        <f t="shared" si="22"/>
        <v>7</v>
      </c>
      <c r="Y141" s="117"/>
      <c r="Z141" s="767">
        <f t="shared" si="22"/>
        <v>1787.9377918277305</v>
      </c>
      <c r="AA141" s="778">
        <f t="shared" si="22"/>
        <v>3320.062208172269</v>
      </c>
      <c r="AB141" s="772">
        <f t="shared" si="22"/>
        <v>5108</v>
      </c>
      <c r="AC141" s="116"/>
      <c r="AD141" s="737" t="s">
        <v>2</v>
      </c>
      <c r="AE141" s="777">
        <f>SUM(AE113:AE140)</f>
        <v>4395</v>
      </c>
      <c r="AF141" s="777">
        <f>SUM(AF113:AF140)</f>
        <v>713</v>
      </c>
      <c r="AG141" s="758">
        <f>SUM(AG113:AG140)</f>
        <v>5108</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2" t="s">
        <v>631</v>
      </c>
      <c r="B145" s="1332"/>
      <c r="C145" s="1332"/>
      <c r="D145" s="1332"/>
      <c r="E145" s="132"/>
    </row>
    <row r="146" spans="1:5">
      <c r="A146" s="1331" t="s">
        <v>630</v>
      </c>
      <c r="B146" s="1331"/>
      <c r="C146" s="1331"/>
      <c r="D146" s="1331"/>
    </row>
    <row r="147" spans="1:5">
      <c r="A147" s="1312" t="s">
        <v>644</v>
      </c>
      <c r="B147" s="1312"/>
      <c r="C147" s="1312"/>
      <c r="D147" s="1312"/>
      <c r="E147" s="1312"/>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F154" sqref="F154"/>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8" t="s">
        <v>259</v>
      </c>
      <c r="B1" s="1208"/>
      <c r="C1" s="1208"/>
      <c r="D1" s="1208"/>
      <c r="E1" s="1208"/>
      <c r="F1" s="1208"/>
      <c r="G1" s="1208"/>
      <c r="H1" s="158"/>
      <c r="I1" s="158"/>
    </row>
    <row r="2" spans="1:53" ht="19.899999999999999" customHeight="1">
      <c r="A2" s="1208" t="s">
        <v>761</v>
      </c>
      <c r="B2" s="1208"/>
      <c r="C2" s="1208"/>
      <c r="D2" s="1208"/>
      <c r="E2" s="1208"/>
      <c r="F2" s="1208"/>
      <c r="G2" s="1208"/>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8"/>
      <c r="B3" s="1208"/>
      <c r="C3" s="1208"/>
      <c r="D3" s="1208"/>
      <c r="E3" s="1208"/>
      <c r="F3" s="1208"/>
      <c r="G3" s="1208"/>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09" t="s">
        <v>723</v>
      </c>
      <c r="B4" s="1209"/>
      <c r="C4" s="1209"/>
      <c r="D4" s="1209"/>
      <c r="E4" s="1209"/>
      <c r="F4" s="1209"/>
      <c r="G4" s="1209"/>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10"/>
      <c r="B5" s="1210"/>
      <c r="C5" s="1210"/>
      <c r="D5" s="1211"/>
      <c r="E5" s="1211"/>
      <c r="F5" s="1211"/>
      <c r="G5" s="1212"/>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10"/>
      <c r="B6" s="1210"/>
      <c r="C6" s="1210"/>
      <c r="D6" s="1210"/>
      <c r="E6" s="1210"/>
      <c r="F6" s="1210"/>
      <c r="G6" s="1213"/>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14" t="s">
        <v>587</v>
      </c>
      <c r="B7" s="1210"/>
      <c r="C7" s="1215" t="s">
        <v>3</v>
      </c>
      <c r="D7" s="1216" t="s">
        <v>697</v>
      </c>
      <c r="E7" s="1216"/>
      <c r="F7" s="1216"/>
      <c r="G7" s="1213"/>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1"/>
      <c r="C10" s="1217" t="s">
        <v>762</v>
      </c>
      <c r="D10" s="1217"/>
      <c r="E10" s="1217"/>
      <c r="F10" s="1217"/>
      <c r="G10" s="1217"/>
      <c r="H10" s="163"/>
      <c r="I10" s="1067"/>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3" t="s">
        <v>581</v>
      </c>
      <c r="D12" s="1113"/>
      <c r="E12" s="1113"/>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2" t="s">
        <v>588</v>
      </c>
      <c r="D15" s="1102"/>
      <c r="E15" s="1102"/>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2"/>
      <c r="B16" s="1102"/>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7">
        <f>IF(+'EXHIBIT A'!E44&gt;=0.0499,+'EXHIBIT A'!E44,"PERCENTAGE DOES NOT MEET STATUTORY GUIDELINES")</f>
        <v>6.9855245319931772E-2</v>
      </c>
      <c r="D17" s="1107"/>
      <c r="E17" s="1107"/>
      <c r="F17" s="1107"/>
      <c r="G17" s="1107"/>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18"/>
      <c r="B18" s="1218"/>
      <c r="C18" s="1219" t="s">
        <v>726</v>
      </c>
      <c r="D18" s="1219"/>
      <c r="E18" s="1219"/>
      <c r="F18" s="1219"/>
      <c r="G18" s="1219"/>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2"/>
      <c r="B19" s="1102"/>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4" t="s">
        <v>613</v>
      </c>
      <c r="D21" s="1114"/>
      <c r="E21" s="1114"/>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82590</v>
      </c>
      <c r="E44" s="191">
        <f>+'EXHIBIT C'!F10</f>
        <v>85507.996513781996</v>
      </c>
      <c r="F44" s="192">
        <f t="shared" ref="F44:F50" si="0">IF(D44=0,"0",(E44/D44-1))</f>
        <v>3.533111168158376E-2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266519.35332874424</v>
      </c>
      <c r="E45" s="196">
        <f>+'EXHIBIT C'!F11</f>
        <v>303744.97158388898</v>
      </c>
      <c r="F45" s="197">
        <f t="shared" si="0"/>
        <v>0.13967322744186594</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138245.02800974617</v>
      </c>
      <c r="E46" s="201">
        <f>+'EXHIBIT C'!F12</f>
        <v>116137.781072399</v>
      </c>
      <c r="F46" s="197">
        <f t="shared" si="0"/>
        <v>-0.15991350470693688</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5404.8640167364019</v>
      </c>
      <c r="E47" s="201">
        <f>+'EXHIBIT C'!F13</f>
        <v>6941.5160349850003</v>
      </c>
      <c r="F47" s="197">
        <f t="shared" si="0"/>
        <v>0.28430909889504852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19416.11742696791</v>
      </c>
      <c r="E48" s="201">
        <f>+'EXHIBIT C'!F14</f>
        <v>26801.025450951001</v>
      </c>
      <c r="F48" s="197">
        <f t="shared" si="0"/>
        <v>0.38034936962864996</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512175.36278219469</v>
      </c>
      <c r="E50" s="209">
        <f>+'EXHIBIT C'!F17</f>
        <v>539133.29065600596</v>
      </c>
      <c r="F50" s="210">
        <f t="shared" si="0"/>
        <v>5.2634175387454629E-2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20" t="s">
        <v>590</v>
      </c>
      <c r="D51" s="1221"/>
      <c r="E51" s="1221"/>
      <c r="F51" s="1221"/>
      <c r="G51" s="1222"/>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5" t="s">
        <v>461</v>
      </c>
      <c r="D52" s="1096"/>
      <c r="E52" s="1096"/>
      <c r="F52" s="1096"/>
      <c r="G52" s="1097"/>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23" t="s">
        <v>793</v>
      </c>
      <c r="D53" s="1224"/>
      <c r="E53" s="1224"/>
      <c r="F53" s="1224"/>
      <c r="G53" s="1225"/>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4"/>
      <c r="D54" s="1075"/>
      <c r="E54" s="1075"/>
      <c r="F54" s="1075"/>
      <c r="G54" s="1076"/>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4"/>
      <c r="D55" s="1075"/>
      <c r="E55" s="1075"/>
      <c r="F55" s="1075"/>
      <c r="G55" s="1076"/>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4"/>
      <c r="D56" s="1075"/>
      <c r="E56" s="1075"/>
      <c r="F56" s="1075"/>
      <c r="G56" s="1076"/>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4"/>
      <c r="D57" s="1075"/>
      <c r="E57" s="1075"/>
      <c r="F57" s="1075"/>
      <c r="G57" s="1076"/>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4"/>
      <c r="D58" s="1075"/>
      <c r="E58" s="1075"/>
      <c r="F58" s="1075"/>
      <c r="G58" s="1076"/>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4"/>
      <c r="D59" s="1075"/>
      <c r="E59" s="1075"/>
      <c r="F59" s="1075"/>
      <c r="G59" s="1076"/>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4"/>
      <c r="D60" s="1075"/>
      <c r="E60" s="1075"/>
      <c r="F60" s="1075"/>
      <c r="G60" s="1076"/>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4"/>
      <c r="D61" s="1075"/>
      <c r="E61" s="1075"/>
      <c r="F61" s="1075"/>
      <c r="G61" s="1076"/>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7"/>
      <c r="D62" s="1078"/>
      <c r="E62" s="1078"/>
      <c r="F62" s="1078"/>
      <c r="G62" s="1079"/>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2565.241534497</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9287.0485790146522</v>
      </c>
      <c r="E69" s="226">
        <f>+'EXHIBIT C'!D20</f>
        <v>8911.8677202950003</v>
      </c>
      <c r="F69" s="224">
        <f t="shared" si="2"/>
        <v>-4.039828752133634E-2</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4138.2157062829301</v>
      </c>
      <c r="E70" s="228">
        <f>+'EXHIBIT C'!D21</f>
        <v>2800.8725357039998</v>
      </c>
      <c r="F70" s="224">
        <f t="shared" si="2"/>
        <v>-0.3231690335881916</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295.13598326359835</v>
      </c>
      <c r="E71" s="228">
        <f>+'EXHIBIT C'!D22</f>
        <v>570.94859585999995</v>
      </c>
      <c r="F71" s="224">
        <f t="shared" si="2"/>
        <v>0.93452722892844209</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1283.8825730320909</v>
      </c>
      <c r="E72" s="228">
        <f>+'EXHIBIT C'!D23</f>
        <v>1688.5627855289999</v>
      </c>
      <c r="F72" s="224">
        <f t="shared" si="2"/>
        <v>0.31520033139883896</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15004.282841593273</v>
      </c>
      <c r="E74" s="234">
        <f>SUM(E68:E73)</f>
        <v>16537.493171884998</v>
      </c>
      <c r="F74" s="235">
        <f t="shared" si="2"/>
        <v>0.10218484591889476</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37.15" customHeight="1" thickBot="1">
      <c r="C75" s="1220" t="s">
        <v>591</v>
      </c>
      <c r="D75" s="1221"/>
      <c r="E75" s="1221"/>
      <c r="F75" s="1221"/>
      <c r="G75" s="1222"/>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4" t="s">
        <v>461</v>
      </c>
      <c r="D76" s="1105"/>
      <c r="E76" s="1105"/>
      <c r="F76" s="1105"/>
      <c r="G76" s="1106"/>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226" t="s">
        <v>794</v>
      </c>
      <c r="D77" s="1227"/>
      <c r="E77" s="1227"/>
      <c r="F77" s="1227"/>
      <c r="G77" s="1228"/>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80"/>
      <c r="D78" s="1081"/>
      <c r="E78" s="1081"/>
      <c r="F78" s="1081"/>
      <c r="G78" s="1082"/>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80"/>
      <c r="D79" s="1081"/>
      <c r="E79" s="1081"/>
      <c r="F79" s="1081"/>
      <c r="G79" s="1082"/>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80"/>
      <c r="D80" s="1081"/>
      <c r="E80" s="1081"/>
      <c r="F80" s="1081"/>
      <c r="G80" s="1082"/>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80"/>
      <c r="D81" s="1081"/>
      <c r="E81" s="1081"/>
      <c r="F81" s="1081"/>
      <c r="G81" s="1082"/>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80"/>
      <c r="D82" s="1081"/>
      <c r="E82" s="1081"/>
      <c r="F82" s="1081"/>
      <c r="G82" s="1082"/>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80"/>
      <c r="D83" s="1081"/>
      <c r="E83" s="1081"/>
      <c r="F83" s="1081"/>
      <c r="G83" s="1082"/>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80"/>
      <c r="D84" s="1081"/>
      <c r="E84" s="1081"/>
      <c r="F84" s="1081"/>
      <c r="G84" s="1082"/>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80"/>
      <c r="D85" s="1081"/>
      <c r="E85" s="1081"/>
      <c r="F85" s="1081"/>
      <c r="G85" s="1082"/>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3"/>
      <c r="D86" s="1084"/>
      <c r="E86" s="1084"/>
      <c r="F86" s="1084"/>
      <c r="G86" s="1085"/>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29" t="s">
        <v>621</v>
      </c>
      <c r="D99" s="1229"/>
      <c r="E99" s="1229"/>
      <c r="F99" s="1229"/>
      <c r="G99" s="1229"/>
      <c r="H99" s="1112"/>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60811965</v>
      </c>
      <c r="E102" s="249">
        <f>+'EXHIBIT D'!G75</f>
        <v>60811965</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1658238</v>
      </c>
      <c r="E103" s="249">
        <f>'EXHIBIT D'!G77</f>
        <v>1658238</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9443975</v>
      </c>
      <c r="E104" s="249">
        <f>'EXHIBIT D'!G81</f>
        <v>9443975</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71914178</v>
      </c>
      <c r="E106" s="256">
        <f t="shared" ref="E106:F106" si="4">SUM(E102:E104)</f>
        <v>71914178</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214" t="s">
        <v>592</v>
      </c>
      <c r="D109" s="1213"/>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31" t="s">
        <v>765</v>
      </c>
      <c r="D117" s="1231"/>
      <c r="E117" s="1231"/>
      <c r="F117" s="1231"/>
      <c r="G117" s="1231"/>
      <c r="H117" s="1073"/>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3"/>
      <c r="D118" s="1073"/>
      <c r="E118" s="1073"/>
      <c r="F118" s="1073"/>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14141583</v>
      </c>
      <c r="D119" s="1071" t="s">
        <v>766</v>
      </c>
      <c r="E119" s="1071"/>
      <c r="F119" s="1071"/>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14141583</v>
      </c>
      <c r="D120" s="1109" t="s">
        <v>767</v>
      </c>
      <c r="E120" s="1109"/>
      <c r="F120" s="1109"/>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30" t="s">
        <v>646</v>
      </c>
      <c r="E121" s="1230"/>
      <c r="F121" s="1230"/>
      <c r="G121" s="1230"/>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17" t="s">
        <v>734</v>
      </c>
      <c r="D124" s="1217"/>
      <c r="E124" s="1217"/>
      <c r="F124" s="1217"/>
      <c r="G124" s="1217"/>
      <c r="H124" s="1103"/>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43937515</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44267515</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-330000</v>
      </c>
      <c r="D128" s="1110" t="s">
        <v>606</v>
      </c>
      <c r="E128" s="1110"/>
      <c r="F128" s="1110"/>
      <c r="G128" s="111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330000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32" t="s">
        <v>733</v>
      </c>
      <c r="E132" s="1232"/>
      <c r="F132" s="1232"/>
      <c r="G132" s="1232"/>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1"/>
      <c r="C135" s="1233" t="s">
        <v>593</v>
      </c>
      <c r="D135" s="1233"/>
      <c r="E135" s="1233"/>
      <c r="F135" s="1233"/>
      <c r="G135" s="1233"/>
      <c r="H135" s="1098"/>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91.789999999999424</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275.53000000001623</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00"/>
      <c r="D141" s="1101"/>
      <c r="E141" s="1101"/>
    </row>
    <row r="142" spans="1:53" s="29" customFormat="1" ht="19.899999999999999" customHeight="1">
      <c r="A142" s="1111" t="s">
        <v>501</v>
      </c>
      <c r="B142" s="1111"/>
      <c r="C142" s="1111"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34" t="s">
        <v>716</v>
      </c>
      <c r="E144" s="1234"/>
      <c r="F144" s="1234"/>
      <c r="G144" s="123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34" t="s">
        <v>717</v>
      </c>
      <c r="E147" s="1234"/>
      <c r="F147" s="1234"/>
      <c r="G147" s="1234"/>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099"/>
      <c r="E149" s="1099"/>
      <c r="F149" s="1099"/>
      <c r="G149" s="1099"/>
      <c r="U149" s="164"/>
      <c r="V149" s="164"/>
      <c r="W149" s="164"/>
      <c r="X149" s="164"/>
      <c r="Y149" s="164"/>
      <c r="Z149" s="164"/>
      <c r="AA149" s="164"/>
      <c r="AB149" s="164"/>
      <c r="AC149" s="164"/>
      <c r="AD149" s="164"/>
      <c r="AE149" s="164"/>
      <c r="AF149" s="164"/>
      <c r="AG149" s="164"/>
    </row>
    <row r="150" spans="1:33" ht="19.899999999999999" customHeight="1">
      <c r="A150" s="29"/>
      <c r="C150" s="285"/>
      <c r="D150" s="1099"/>
      <c r="E150" s="1099"/>
      <c r="F150" s="1099"/>
      <c r="G150" s="1099"/>
      <c r="U150" s="164"/>
      <c r="V150" s="164"/>
      <c r="W150" s="164"/>
      <c r="X150" s="164"/>
      <c r="Y150" s="164"/>
      <c r="Z150" s="164"/>
      <c r="AA150" s="164"/>
      <c r="AB150" s="164"/>
      <c r="AC150" s="164"/>
      <c r="AD150" s="164"/>
      <c r="AE150" s="164"/>
      <c r="AF150" s="164"/>
      <c r="AG150" s="164"/>
    </row>
    <row r="151" spans="1:33" ht="61.9" customHeight="1">
      <c r="A151" s="278" t="s">
        <v>502</v>
      </c>
      <c r="B151" s="1111"/>
      <c r="C151" s="1233" t="s">
        <v>738</v>
      </c>
      <c r="D151" s="1233"/>
      <c r="E151" s="1233"/>
      <c r="F151" s="1233"/>
      <c r="G151" s="1233"/>
      <c r="H151" s="1098"/>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2" t="s">
        <v>607</v>
      </c>
      <c r="E153" s="1072"/>
      <c r="F153" s="1072"/>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5" t="s">
        <v>705</v>
      </c>
      <c r="D155" s="1096"/>
      <c r="E155" s="1096"/>
      <c r="F155" s="1096"/>
      <c r="G155" s="1097"/>
      <c r="H155" s="52"/>
      <c r="U155" s="164"/>
      <c r="V155" s="164"/>
      <c r="W155" s="164"/>
      <c r="X155" s="164"/>
      <c r="Y155" s="164"/>
      <c r="Z155" s="164"/>
      <c r="AA155" s="164"/>
      <c r="AB155" s="164"/>
      <c r="AC155" s="164"/>
      <c r="AD155" s="164"/>
      <c r="AE155" s="164"/>
      <c r="AF155" s="164"/>
      <c r="AG155" s="164"/>
    </row>
    <row r="156" spans="1:33" ht="19.899999999999999" customHeight="1">
      <c r="A156" s="29"/>
      <c r="C156" s="1086"/>
      <c r="D156" s="1087"/>
      <c r="E156" s="1087"/>
      <c r="F156" s="1087"/>
      <c r="G156" s="1088"/>
      <c r="H156" s="286"/>
      <c r="U156" s="164"/>
      <c r="V156" s="164"/>
      <c r="W156" s="164"/>
      <c r="X156" s="164"/>
      <c r="Y156" s="164"/>
      <c r="Z156" s="164"/>
      <c r="AA156" s="164"/>
      <c r="AB156" s="164"/>
      <c r="AC156" s="164"/>
      <c r="AD156" s="164"/>
      <c r="AE156" s="164"/>
      <c r="AF156" s="164"/>
      <c r="AG156" s="164"/>
    </row>
    <row r="157" spans="1:33" ht="19.899999999999999" customHeight="1">
      <c r="A157" s="29"/>
      <c r="C157" s="1089"/>
      <c r="D157" s="1090"/>
      <c r="E157" s="1090"/>
      <c r="F157" s="1090"/>
      <c r="G157" s="1091"/>
      <c r="H157" s="286"/>
      <c r="U157" s="164"/>
      <c r="V157" s="164"/>
      <c r="W157" s="164"/>
      <c r="X157" s="164"/>
      <c r="Y157" s="164"/>
      <c r="Z157" s="164"/>
      <c r="AA157" s="164"/>
      <c r="AB157" s="164"/>
      <c r="AC157" s="164"/>
      <c r="AD157" s="164"/>
      <c r="AE157" s="164"/>
      <c r="AF157" s="164"/>
      <c r="AG157" s="164"/>
    </row>
    <row r="158" spans="1:33" ht="19.899999999999999" customHeight="1">
      <c r="A158" s="29"/>
      <c r="C158" s="1089"/>
      <c r="D158" s="1090"/>
      <c r="E158" s="1090"/>
      <c r="F158" s="1090"/>
      <c r="G158" s="1091"/>
      <c r="H158" s="286"/>
      <c r="U158" s="164"/>
      <c r="V158" s="164"/>
      <c r="W158" s="164"/>
      <c r="X158" s="164"/>
      <c r="Y158" s="164"/>
      <c r="Z158" s="164"/>
      <c r="AA158" s="164"/>
      <c r="AB158" s="164"/>
      <c r="AC158" s="164"/>
      <c r="AD158" s="164"/>
      <c r="AE158" s="164"/>
      <c r="AF158" s="164"/>
      <c r="AG158" s="164"/>
    </row>
    <row r="159" spans="1:33" ht="19.899999999999999" customHeight="1">
      <c r="A159" s="29"/>
      <c r="C159" s="1089"/>
      <c r="D159" s="1090"/>
      <c r="E159" s="1090"/>
      <c r="F159" s="1090"/>
      <c r="G159" s="1091"/>
      <c r="H159" s="286"/>
      <c r="U159" s="164"/>
      <c r="V159" s="164"/>
      <c r="W159" s="164"/>
      <c r="X159" s="164"/>
      <c r="Y159" s="164"/>
      <c r="Z159" s="164"/>
      <c r="AA159" s="164"/>
      <c r="AB159" s="164"/>
      <c r="AC159" s="164"/>
      <c r="AD159" s="164"/>
      <c r="AE159" s="164"/>
      <c r="AF159" s="164"/>
      <c r="AG159" s="164"/>
    </row>
    <row r="160" spans="1:33" ht="19.899999999999999" customHeight="1">
      <c r="A160" s="29"/>
      <c r="C160" s="1089"/>
      <c r="D160" s="1090"/>
      <c r="E160" s="1090"/>
      <c r="F160" s="1090"/>
      <c r="G160" s="1091"/>
      <c r="H160" s="286"/>
      <c r="U160" s="164"/>
      <c r="V160" s="164"/>
      <c r="W160" s="164"/>
      <c r="X160" s="164"/>
      <c r="Y160" s="164"/>
      <c r="Z160" s="164"/>
      <c r="AA160" s="164"/>
      <c r="AB160" s="164"/>
      <c r="AC160" s="164"/>
      <c r="AD160" s="164"/>
      <c r="AE160" s="164"/>
      <c r="AF160" s="164"/>
      <c r="AG160" s="164"/>
    </row>
    <row r="161" spans="1:33" ht="19.899999999999999" customHeight="1">
      <c r="A161" s="29"/>
      <c r="C161" s="1089"/>
      <c r="D161" s="1090"/>
      <c r="E161" s="1090"/>
      <c r="F161" s="1090"/>
      <c r="G161" s="1091"/>
      <c r="H161" s="286"/>
      <c r="U161" s="164"/>
      <c r="V161" s="164"/>
      <c r="W161" s="164"/>
      <c r="X161" s="164"/>
      <c r="Y161" s="164"/>
      <c r="Z161" s="164"/>
      <c r="AA161" s="164"/>
      <c r="AB161" s="164"/>
      <c r="AC161" s="164"/>
      <c r="AD161" s="164"/>
      <c r="AE161" s="164"/>
      <c r="AF161" s="164"/>
      <c r="AG161" s="164"/>
    </row>
    <row r="162" spans="1:33" ht="19.899999999999999" customHeight="1">
      <c r="A162" s="29"/>
      <c r="C162" s="1089"/>
      <c r="D162" s="1090"/>
      <c r="E162" s="1090"/>
      <c r="F162" s="1090"/>
      <c r="G162" s="1091"/>
      <c r="H162" s="286"/>
      <c r="U162" s="164"/>
      <c r="V162" s="164"/>
      <c r="W162" s="164"/>
      <c r="X162" s="164"/>
      <c r="Y162" s="164"/>
      <c r="Z162" s="164"/>
      <c r="AA162" s="164"/>
      <c r="AB162" s="164"/>
      <c r="AC162" s="164"/>
      <c r="AD162" s="164"/>
      <c r="AE162" s="164"/>
      <c r="AF162" s="164"/>
      <c r="AG162" s="164"/>
    </row>
    <row r="163" spans="1:33" ht="19.899999999999999" customHeight="1">
      <c r="A163" s="29"/>
      <c r="C163" s="1089"/>
      <c r="D163" s="1090"/>
      <c r="E163" s="1090"/>
      <c r="F163" s="1090"/>
      <c r="G163" s="1091"/>
      <c r="H163" s="286"/>
      <c r="U163" s="164"/>
      <c r="V163" s="164"/>
      <c r="W163" s="164"/>
      <c r="X163" s="164"/>
      <c r="Y163" s="164"/>
      <c r="Z163" s="164"/>
      <c r="AA163" s="164"/>
      <c r="AB163" s="164"/>
      <c r="AC163" s="164"/>
      <c r="AD163" s="164"/>
      <c r="AE163" s="164"/>
      <c r="AF163" s="164"/>
      <c r="AG163" s="164"/>
    </row>
    <row r="164" spans="1:33" ht="19.899999999999999" customHeight="1">
      <c r="A164" s="29"/>
      <c r="C164" s="1089"/>
      <c r="D164" s="1090"/>
      <c r="E164" s="1090"/>
      <c r="F164" s="1090"/>
      <c r="G164" s="1091"/>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2"/>
      <c r="D165" s="1093"/>
      <c r="E165" s="1093"/>
      <c r="F165" s="1093"/>
      <c r="G165" s="1094"/>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2pcZqmZXEBu69ATx11owIjflXE4piF6QtY6wo13AoAEJfYDUstttOry2q+G95Gw9Ga1f0FhUVeL+RygRHfrVyw==" saltValue="MmVlOckeJCl/JkNhFLtBm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I7" sqref="I7"/>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0"/>
      <c r="B1" s="1235" t="s">
        <v>652</v>
      </c>
      <c r="C1" s="1235"/>
      <c r="D1" s="1235"/>
      <c r="E1" s="1235"/>
      <c r="F1" s="546"/>
      <c r="G1" s="546"/>
    </row>
    <row r="2" spans="1:7" ht="26.25">
      <c r="A2" s="1210"/>
      <c r="B2" s="1236" t="s">
        <v>259</v>
      </c>
      <c r="C2" s="1236"/>
      <c r="D2" s="1236"/>
      <c r="E2" s="1236"/>
      <c r="F2" s="1117"/>
      <c r="G2" s="1117"/>
    </row>
    <row r="3" spans="1:7" ht="26.25">
      <c r="A3" s="1210"/>
      <c r="B3" s="1236" t="s">
        <v>444</v>
      </c>
      <c r="C3" s="1236"/>
      <c r="D3" s="1236"/>
      <c r="E3" s="1236"/>
      <c r="F3" s="1117"/>
      <c r="G3" s="1117"/>
    </row>
    <row r="4" spans="1:7" ht="26.25">
      <c r="A4" s="1210"/>
      <c r="B4" s="1236" t="s">
        <v>653</v>
      </c>
      <c r="C4" s="1236"/>
      <c r="D4" s="1236"/>
      <c r="E4" s="1236"/>
      <c r="F4" s="1117"/>
      <c r="G4" s="1117"/>
    </row>
    <row r="5" spans="1:7" ht="26.25">
      <c r="A5" s="1210"/>
      <c r="B5" s="1235" t="s">
        <v>777</v>
      </c>
      <c r="C5" s="1235"/>
      <c r="D5" s="1235"/>
      <c r="E5" s="1235"/>
      <c r="F5" s="1118"/>
      <c r="G5" s="1118"/>
    </row>
    <row r="6" spans="1:7" ht="25.15" customHeight="1">
      <c r="B6" s="1118"/>
      <c r="C6" s="1118"/>
      <c r="D6" s="1118"/>
      <c r="E6" s="1118"/>
      <c r="F6" s="1118"/>
      <c r="G6" s="1118"/>
    </row>
    <row r="7" spans="1:7" ht="25.15" customHeight="1">
      <c r="B7" s="546"/>
      <c r="C7" s="546"/>
      <c r="D7" s="660"/>
      <c r="E7" s="660"/>
      <c r="F7" s="660"/>
      <c r="G7" s="660"/>
    </row>
    <row r="8" spans="1:7" ht="25.15" customHeight="1">
      <c r="B8" s="662" t="s">
        <v>15</v>
      </c>
      <c r="C8" s="1116" t="str">
        <f>'CHECK SHEET'!D7</f>
        <v>St. Petersburg College</v>
      </c>
      <c r="D8" s="1116"/>
      <c r="E8" s="1116"/>
      <c r="F8" s="659"/>
      <c r="G8" s="659"/>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8">
        <v>14962389</v>
      </c>
    </row>
    <row r="14" spans="1:7" ht="25.15" customHeight="1">
      <c r="B14" s="50" t="s">
        <v>650</v>
      </c>
      <c r="C14" s="33"/>
      <c r="D14" s="165"/>
      <c r="E14" s="869">
        <v>43937515</v>
      </c>
    </row>
    <row r="15" spans="1:7" ht="25.15" customHeight="1">
      <c r="B15" s="165"/>
      <c r="C15" s="165"/>
      <c r="D15" s="165"/>
      <c r="E15" s="288"/>
    </row>
    <row r="16" spans="1:7" ht="25.15" customHeight="1">
      <c r="B16" s="33" t="s">
        <v>770</v>
      </c>
      <c r="C16" s="48"/>
      <c r="D16" s="48"/>
      <c r="E16" s="298">
        <f>+E14+E13</f>
        <v>58899904</v>
      </c>
    </row>
    <row r="17" spans="2:7" ht="25.15" customHeight="1">
      <c r="B17" s="165"/>
      <c r="C17" s="165"/>
      <c r="D17" s="165"/>
      <c r="E17" s="289"/>
    </row>
    <row r="18" spans="2:7" ht="25.15" customHeight="1">
      <c r="B18" s="50" t="s">
        <v>530</v>
      </c>
      <c r="D18" s="165"/>
      <c r="E18" s="309">
        <f>+'EXHIBIT D'!G141-SUM(+'EXHIBIT D'!G130+'EXHIBIT D'!G131+'EXHIBIT D'!G132+'EXHIBIT D'!G133)</f>
        <v>139363435.81999999</v>
      </c>
      <c r="G18" s="290"/>
    </row>
    <row r="19" spans="2:7" ht="25.15" customHeight="1">
      <c r="B19" s="50" t="s">
        <v>531</v>
      </c>
      <c r="D19" s="165"/>
      <c r="E19" s="298">
        <f>+'EXHIBIT D'!G130+'EXHIBIT D'!G131+'EXHIBIT D'!G132+'EXHIBIT D'!G133</f>
        <v>4177907.58</v>
      </c>
    </row>
    <row r="20" spans="2:7" ht="25.15" customHeight="1">
      <c r="B20" s="165"/>
      <c r="C20" s="165"/>
      <c r="D20" s="165"/>
      <c r="E20" s="299"/>
    </row>
    <row r="21" spans="2:7" ht="25.15" customHeight="1">
      <c r="B21" s="50" t="s">
        <v>16</v>
      </c>
      <c r="C21" s="165"/>
      <c r="D21" s="165"/>
      <c r="E21" s="296">
        <f>+E19+E18</f>
        <v>143541343.40000001</v>
      </c>
    </row>
    <row r="22" spans="2:7" ht="25.15" customHeight="1">
      <c r="B22" s="165"/>
      <c r="C22" s="165"/>
      <c r="D22" s="165"/>
      <c r="E22" s="299"/>
    </row>
    <row r="23" spans="2:7" ht="25.15" customHeight="1">
      <c r="B23" s="165" t="s">
        <v>17</v>
      </c>
      <c r="C23" s="165"/>
      <c r="D23" s="165"/>
      <c r="E23" s="296">
        <f>+E21+E16</f>
        <v>202441247.40000001</v>
      </c>
    </row>
    <row r="24" spans="2:7" ht="25.15" customHeight="1">
      <c r="B24" s="165"/>
      <c r="C24" s="165"/>
      <c r="D24" s="165"/>
      <c r="E24" s="299"/>
    </row>
    <row r="25" spans="2:7" ht="25.15" customHeight="1">
      <c r="B25" s="50" t="s">
        <v>529</v>
      </c>
      <c r="D25" s="165"/>
      <c r="E25" s="310">
        <f>'EXHIBIT D'!G253-SUM(+'EXHIBIT D'!G227+'EXHIBIT D'!G228+'EXHIBIT D'!G229+'EXHIBIT D'!G230+'EXHIBIT D'!G231)</f>
        <v>142691342.99000001</v>
      </c>
    </row>
    <row r="26" spans="2:7" ht="25.15" customHeight="1">
      <c r="B26" s="50" t="s">
        <v>479</v>
      </c>
      <c r="D26" s="165"/>
      <c r="E26" s="298">
        <f>'EXHIBIT D'!G227+'EXHIBIT D'!G228+'EXHIBIT D'!G229+'EXHIBIT D'!G230+'EXHIBIT D'!G231</f>
        <v>850000</v>
      </c>
    </row>
    <row r="27" spans="2:7" ht="25.15" customHeight="1">
      <c r="B27" s="165"/>
      <c r="C27" s="165"/>
      <c r="D27" s="165"/>
      <c r="E27" s="299"/>
    </row>
    <row r="28" spans="2:7" ht="25.15" customHeight="1">
      <c r="B28" s="165" t="s">
        <v>18</v>
      </c>
      <c r="C28" s="165"/>
      <c r="D28" s="165"/>
      <c r="E28" s="311">
        <f>+E26+E25</f>
        <v>143541342.99000001</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58899904.409999996</v>
      </c>
      <c r="E32" s="291"/>
    </row>
    <row r="33" spans="2:10" ht="25.15" customHeight="1">
      <c r="B33" s="33" t="s">
        <v>480</v>
      </c>
      <c r="D33" s="293">
        <f>+'EXHIBIT D'!G185</f>
        <v>330000</v>
      </c>
      <c r="E33" s="291"/>
      <c r="J33" s="213"/>
    </row>
    <row r="34" spans="2:10" ht="25.15" customHeight="1">
      <c r="B34" s="165"/>
      <c r="C34" s="165"/>
      <c r="D34" s="165"/>
      <c r="E34" s="291"/>
      <c r="J34" s="294"/>
    </row>
    <row r="35" spans="2:10" ht="25.15" customHeight="1">
      <c r="B35" s="50" t="s">
        <v>772</v>
      </c>
      <c r="C35" s="165"/>
      <c r="D35" s="165"/>
      <c r="E35" s="295">
        <f>+D32+D33</f>
        <v>59229904.409999996</v>
      </c>
      <c r="J35" s="213"/>
    </row>
    <row r="36" spans="2:10" ht="25.15" customHeight="1">
      <c r="B36" s="50" t="s">
        <v>773</v>
      </c>
      <c r="D36" s="165"/>
      <c r="E36" s="296">
        <f>-'EXHIBIT D'!G269</f>
        <v>44267515</v>
      </c>
      <c r="J36" s="297"/>
    </row>
    <row r="37" spans="2:10" ht="25.15" customHeight="1">
      <c r="D37" s="165"/>
      <c r="E37" s="295"/>
      <c r="J37" s="213"/>
    </row>
    <row r="38" spans="2:10" ht="25.15" customHeight="1">
      <c r="B38" s="165" t="s">
        <v>774</v>
      </c>
      <c r="C38" s="165"/>
      <c r="D38" s="165"/>
      <c r="E38" s="298">
        <f>+E35-E36</f>
        <v>14962389.409999996</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14141583</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6.9855245319931772E-2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8xLs8D46z/BRyJW2CZDIn2E+Wy//jNgtUMDX1QchEMJXayJSUB9BzG9p06HPzOfRoRwB4xENLT1m0e6sjnhIxg==" saltValue="asFo/A40HDqNrPHvVnJpM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F5" sqref="F5"/>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5" t="s">
        <v>21</v>
      </c>
      <c r="L1" s="1115"/>
      <c r="M1" s="1115"/>
      <c r="N1" s="1115"/>
      <c r="O1" s="1115"/>
      <c r="P1" s="1115"/>
      <c r="Q1" s="1115"/>
      <c r="R1" s="1115"/>
    </row>
    <row r="2" spans="1:18" s="546" customFormat="1" ht="19.899999999999999" customHeight="1"/>
    <row r="3" spans="1:18" s="546" customFormat="1" ht="19.899999999999999" customHeight="1">
      <c r="A3" s="1236" t="s">
        <v>259</v>
      </c>
      <c r="B3" s="1236"/>
      <c r="C3" s="1236"/>
      <c r="D3" s="1236"/>
      <c r="E3" s="1236"/>
      <c r="F3" s="1236"/>
      <c r="G3" s="1236"/>
      <c r="H3" s="1236"/>
      <c r="I3" s="1117"/>
      <c r="J3" s="545"/>
      <c r="K3" s="545"/>
    </row>
    <row r="4" spans="1:18" s="546" customFormat="1" ht="19.899999999999999" customHeight="1">
      <c r="A4" s="1236" t="s">
        <v>444</v>
      </c>
      <c r="B4" s="1236"/>
      <c r="C4" s="1236"/>
      <c r="D4" s="1236"/>
      <c r="E4" s="1236"/>
      <c r="F4" s="1236"/>
      <c r="G4" s="1236"/>
      <c r="H4" s="1236"/>
      <c r="I4" s="1117"/>
    </row>
    <row r="5" spans="1:18" s="546" customFormat="1" ht="19.899999999999999" customHeight="1">
      <c r="A5" s="1236" t="s">
        <v>783</v>
      </c>
      <c r="B5" s="1236"/>
      <c r="C5" s="1236"/>
      <c r="D5" s="1236"/>
      <c r="E5" s="1236"/>
      <c r="F5" s="1236"/>
      <c r="G5" s="1236"/>
      <c r="H5" s="1236"/>
      <c r="I5" s="1117"/>
    </row>
    <row r="6" spans="1:18" s="546" customFormat="1" ht="19.899999999999999" customHeight="1">
      <c r="A6" s="1236" t="s">
        <v>674</v>
      </c>
      <c r="B6" s="1236"/>
      <c r="C6" s="1236"/>
      <c r="D6" s="1236"/>
      <c r="E6" s="1236"/>
      <c r="F6" s="1236"/>
      <c r="G6" s="1236"/>
      <c r="H6" s="1236"/>
      <c r="I6" s="1117"/>
    </row>
    <row r="7" spans="1:18" s="546" customFormat="1" ht="19.899999999999999" customHeight="1">
      <c r="A7" s="1235"/>
      <c r="B7" s="1235"/>
      <c r="C7" s="1235"/>
      <c r="D7" s="1235"/>
      <c r="E7" s="1235"/>
      <c r="F7" s="1235"/>
      <c r="G7" s="1235"/>
      <c r="H7" s="1235"/>
      <c r="I7" s="1118"/>
    </row>
    <row r="8" spans="1:18" s="546" customFormat="1" ht="25.15" customHeight="1" thickBot="1">
      <c r="A8" s="1235"/>
      <c r="B8" s="1239"/>
      <c r="C8" s="1235" t="s">
        <v>15</v>
      </c>
      <c r="D8" s="1240" t="str">
        <f>'CHECK SHEET'!D7</f>
        <v>St. Petersburg College</v>
      </c>
      <c r="E8" s="1240"/>
      <c r="F8" s="1240"/>
      <c r="G8" s="1240"/>
      <c r="H8" s="1240"/>
    </row>
    <row r="9" spans="1:18" s="50" customFormat="1" ht="19.899999999999999" customHeight="1">
      <c r="A9" s="1210"/>
      <c r="B9" s="1210"/>
      <c r="C9" s="1210"/>
      <c r="D9" s="1210"/>
      <c r="E9" s="1210"/>
      <c r="F9" s="1210"/>
      <c r="G9" s="1210"/>
      <c r="H9" s="1210"/>
    </row>
    <row r="10" spans="1:18" s="50" customFormat="1" ht="19.899999999999999" customHeight="1">
      <c r="B10" s="165"/>
      <c r="C10" s="165"/>
      <c r="D10" s="165"/>
      <c r="E10" s="1237"/>
      <c r="F10" s="1238"/>
      <c r="G10" s="1238"/>
    </row>
    <row r="11" spans="1:18" s="50" customFormat="1" ht="19.899999999999999" customHeight="1">
      <c r="B11" s="1119" t="s">
        <v>22</v>
      </c>
      <c r="C11" s="1119"/>
      <c r="D11" s="158"/>
      <c r="E11" s="158"/>
    </row>
    <row r="12" spans="1:18" s="50" customFormat="1" ht="19.899999999999999" customHeight="1" thickBot="1">
      <c r="B12" s="1120" t="s">
        <v>537</v>
      </c>
      <c r="C12" s="1120"/>
      <c r="D12" s="1120"/>
      <c r="E12" s="1120"/>
      <c r="J12" s="165"/>
    </row>
    <row r="13" spans="1:18" s="50" customFormat="1" ht="105.75" customHeight="1" thickBot="1">
      <c r="A13" s="663" t="s">
        <v>256</v>
      </c>
      <c r="B13" s="586" t="s">
        <v>7</v>
      </c>
      <c r="C13" s="1123" t="s">
        <v>377</v>
      </c>
      <c r="D13" s="586" t="s">
        <v>455</v>
      </c>
      <c r="E13" s="586" t="s">
        <v>385</v>
      </c>
      <c r="F13" s="1122" t="s">
        <v>386</v>
      </c>
      <c r="G13" s="586" t="s">
        <v>2</v>
      </c>
      <c r="H13" s="1123" t="s">
        <v>609</v>
      </c>
      <c r="I13" s="33"/>
      <c r="J13" s="48"/>
      <c r="K13" s="33"/>
    </row>
    <row r="14" spans="1:18" s="50" customFormat="1" ht="19.899999999999999" customHeight="1">
      <c r="A14" s="664" t="s">
        <v>655</v>
      </c>
      <c r="B14" s="822">
        <v>91.79</v>
      </c>
      <c r="C14" s="822">
        <v>4.59</v>
      </c>
      <c r="D14" s="822">
        <v>9.18</v>
      </c>
      <c r="E14" s="822">
        <v>12.55</v>
      </c>
      <c r="F14" s="822">
        <v>4.59</v>
      </c>
      <c r="G14" s="665">
        <f>SUM(B14:F14)</f>
        <v>122.7</v>
      </c>
      <c r="H14" s="713">
        <f>G14*30</f>
        <v>3681</v>
      </c>
      <c r="I14" s="33"/>
    </row>
    <row r="15" spans="1:18" s="50" customFormat="1" ht="19.899999999999999" customHeight="1">
      <c r="A15" s="165" t="s">
        <v>673</v>
      </c>
      <c r="B15" s="822">
        <v>80.94</v>
      </c>
      <c r="C15" s="822">
        <v>4.04</v>
      </c>
      <c r="D15" s="822">
        <v>7.63</v>
      </c>
      <c r="E15" s="822">
        <v>15.1</v>
      </c>
      <c r="F15" s="822">
        <v>4.04</v>
      </c>
      <c r="G15" s="665">
        <f>SUM(B15:F15)</f>
        <v>111.75</v>
      </c>
      <c r="H15" s="666">
        <f>G15*30</f>
        <v>3352.5</v>
      </c>
      <c r="I15" s="33"/>
    </row>
    <row r="16" spans="1:18" s="50" customFormat="1" ht="19.899999999999999" customHeight="1" thickBot="1">
      <c r="A16" s="48" t="s">
        <v>527</v>
      </c>
      <c r="B16" s="822">
        <v>68.599999999999994</v>
      </c>
      <c r="C16" s="822">
        <v>0</v>
      </c>
      <c r="D16" s="628"/>
      <c r="E16" s="822">
        <v>3.43</v>
      </c>
      <c r="F16" s="822">
        <v>3.43</v>
      </c>
      <c r="G16" s="667">
        <f>SUM(B16:F16)</f>
        <v>75.460000000000008</v>
      </c>
      <c r="H16" s="704">
        <f>G16*30</f>
        <v>2263.8000000000002</v>
      </c>
    </row>
    <row r="17" spans="1:11" s="50" customFormat="1" ht="19.899999999999999" customHeight="1" thickBot="1">
      <c r="A17" s="668"/>
      <c r="B17" s="702"/>
      <c r="C17" s="714"/>
      <c r="D17" s="714"/>
      <c r="E17" s="714"/>
      <c r="F17" s="714"/>
      <c r="G17" s="712"/>
      <c r="H17" s="669"/>
    </row>
    <row r="18" spans="1:11" s="50" customFormat="1" ht="64.900000000000006" customHeight="1" thickBot="1">
      <c r="A18" s="701" t="s">
        <v>256</v>
      </c>
      <c r="B18" s="682" t="s">
        <v>504</v>
      </c>
      <c r="C18" s="719"/>
      <c r="D18" s="719"/>
      <c r="E18" s="719"/>
      <c r="F18" s="719"/>
      <c r="G18" s="711" t="s">
        <v>2</v>
      </c>
      <c r="H18" s="1123" t="s">
        <v>610</v>
      </c>
    </row>
    <row r="19" spans="1:11" s="50" customFormat="1" ht="19.899999999999999" customHeight="1">
      <c r="A19" s="165" t="s">
        <v>383</v>
      </c>
      <c r="B19" s="822">
        <v>0</v>
      </c>
      <c r="C19" s="716"/>
      <c r="D19" s="716"/>
      <c r="E19" s="716"/>
      <c r="F19" s="716"/>
      <c r="G19" s="665">
        <f>B19</f>
        <v>0</v>
      </c>
      <c r="H19" s="708">
        <f>G19*3</f>
        <v>0</v>
      </c>
    </row>
    <row r="20" spans="1:11" s="50" customFormat="1" ht="19.899999999999999" customHeight="1" thickBot="1">
      <c r="A20" s="165" t="s">
        <v>452</v>
      </c>
      <c r="B20" s="823">
        <v>0</v>
      </c>
      <c r="C20" s="717"/>
      <c r="D20" s="717"/>
      <c r="E20" s="717"/>
      <c r="F20" s="717"/>
      <c r="G20" s="670">
        <f>B20</f>
        <v>0</v>
      </c>
      <c r="H20" s="709">
        <f>G20*3</f>
        <v>0</v>
      </c>
    </row>
    <row r="21" spans="1:11" s="50" customFormat="1" ht="19.899999999999999" customHeight="1" thickBot="1">
      <c r="A21" s="671"/>
      <c r="B21" s="702"/>
      <c r="C21" s="668"/>
      <c r="D21" s="668"/>
      <c r="E21" s="668"/>
      <c r="F21" s="668"/>
      <c r="G21" s="712"/>
      <c r="H21" s="669"/>
    </row>
    <row r="22" spans="1:11" s="50" customFormat="1" ht="19.899999999999999" customHeight="1">
      <c r="A22" s="165" t="s">
        <v>388</v>
      </c>
      <c r="B22" s="824">
        <v>0</v>
      </c>
      <c r="C22" s="715"/>
      <c r="D22" s="715"/>
      <c r="E22" s="715"/>
      <c r="F22" s="715"/>
      <c r="G22" s="672">
        <f>B22</f>
        <v>0</v>
      </c>
      <c r="H22" s="710">
        <f>G22*2</f>
        <v>0</v>
      </c>
    </row>
    <row r="23" spans="1:11" s="50" customFormat="1" ht="19.899999999999999" customHeight="1" thickBot="1">
      <c r="A23" s="165" t="s">
        <v>453</v>
      </c>
      <c r="B23" s="825">
        <v>0</v>
      </c>
      <c r="C23" s="717"/>
      <c r="D23" s="717"/>
      <c r="E23" s="717"/>
      <c r="F23" s="717"/>
      <c r="G23" s="673">
        <f>B23</f>
        <v>0</v>
      </c>
      <c r="H23" s="704">
        <f>G23*2</f>
        <v>0</v>
      </c>
      <c r="J23" s="674"/>
      <c r="K23" s="674"/>
    </row>
    <row r="24" spans="1:11" s="50" customFormat="1" ht="25.15" customHeight="1">
      <c r="B24" s="674"/>
      <c r="C24" s="675"/>
      <c r="D24" s="675"/>
      <c r="E24" s="675"/>
      <c r="F24" s="675"/>
      <c r="G24" s="674"/>
      <c r="H24" s="674"/>
      <c r="I24" s="674"/>
      <c r="J24" s="674"/>
      <c r="K24" s="674"/>
    </row>
    <row r="25" spans="1:11" s="50" customFormat="1" ht="13.5" customHeight="1">
      <c r="A25" s="165"/>
      <c r="B25" s="674"/>
      <c r="C25" s="674"/>
      <c r="D25" s="674"/>
      <c r="E25" s="674"/>
      <c r="F25" s="674"/>
      <c r="G25" s="674"/>
      <c r="H25" s="674"/>
      <c r="I25" s="674"/>
      <c r="J25" s="674"/>
      <c r="K25" s="674"/>
    </row>
    <row r="26" spans="1:11" s="50" customFormat="1" ht="19.899999999999999" customHeight="1">
      <c r="B26" s="1111" t="s">
        <v>586</v>
      </c>
      <c r="C26" s="1111"/>
      <c r="D26" s="1111"/>
      <c r="E26" s="1111"/>
      <c r="F26" s="674"/>
      <c r="G26" s="674"/>
      <c r="H26" s="674"/>
      <c r="I26" s="674"/>
      <c r="J26" s="674"/>
      <c r="K26" s="674"/>
    </row>
    <row r="27" spans="1:11" s="50" customFormat="1" ht="19.899999999999999" customHeight="1" thickBot="1">
      <c r="A27" s="664"/>
      <c r="B27" s="1111" t="s">
        <v>537</v>
      </c>
      <c r="C27" s="1111"/>
      <c r="D27" s="1111"/>
      <c r="E27" s="1111"/>
      <c r="F27" s="674"/>
      <c r="G27" s="674"/>
      <c r="H27" s="674"/>
      <c r="I27" s="674"/>
    </row>
    <row r="28" spans="1:11" s="50" customFormat="1" ht="108" customHeight="1" thickBot="1">
      <c r="A28" s="663" t="s">
        <v>256</v>
      </c>
      <c r="B28" s="676" t="s">
        <v>7</v>
      </c>
      <c r="C28" s="586" t="s">
        <v>376</v>
      </c>
      <c r="D28" s="586" t="s">
        <v>377</v>
      </c>
      <c r="E28" s="586" t="s">
        <v>455</v>
      </c>
      <c r="F28" s="586" t="s">
        <v>385</v>
      </c>
      <c r="G28" s="1122" t="s">
        <v>386</v>
      </c>
      <c r="H28" s="586" t="s">
        <v>2</v>
      </c>
      <c r="I28" s="1123" t="s">
        <v>609</v>
      </c>
      <c r="J28" s="165"/>
      <c r="K28" s="165"/>
    </row>
    <row r="29" spans="1:11" s="50" customFormat="1" ht="19.899999999999999" customHeight="1">
      <c r="A29" s="664" t="str">
        <f t="shared" ref="A29:B31" si="0">A14</f>
        <v>UPPER LEVEL - BACCALAUREATE</v>
      </c>
      <c r="B29" s="677">
        <f t="shared" si="0"/>
        <v>91.79</v>
      </c>
      <c r="C29" s="826">
        <v>275.52999999999997</v>
      </c>
      <c r="D29" s="826">
        <v>18.37</v>
      </c>
      <c r="E29" s="700">
        <f>D14</f>
        <v>9.18</v>
      </c>
      <c r="F29" s="826">
        <v>12.55</v>
      </c>
      <c r="G29" s="826">
        <v>18.37</v>
      </c>
      <c r="H29" s="678">
        <f>SUM(B29:G29)</f>
        <v>425.79</v>
      </c>
      <c r="I29" s="703">
        <f>H29*30</f>
        <v>12773.7</v>
      </c>
      <c r="J29" s="33"/>
    </row>
    <row r="30" spans="1:11" s="50" customFormat="1" ht="19.899999999999999" customHeight="1">
      <c r="A30" s="165" t="str">
        <f t="shared" si="0"/>
        <v>LOWER LEVEL - CREDIT (A &amp; P, PSV, DEVELOPMENTAL EDUCATION AND EPI)</v>
      </c>
      <c r="B30" s="787">
        <f t="shared" si="0"/>
        <v>80.94</v>
      </c>
      <c r="C30" s="826">
        <v>242.97</v>
      </c>
      <c r="D30" s="826">
        <v>16.2</v>
      </c>
      <c r="E30" s="679">
        <f>D15</f>
        <v>7.63</v>
      </c>
      <c r="F30" s="826">
        <v>22.96</v>
      </c>
      <c r="G30" s="826">
        <v>16.2</v>
      </c>
      <c r="H30" s="665">
        <f>SUM(B30:G30)</f>
        <v>386.89999999999992</v>
      </c>
      <c r="I30" s="666">
        <f>H30*30</f>
        <v>11606.999999999998</v>
      </c>
    </row>
    <row r="31" spans="1:11" s="50" customFormat="1" ht="19.899999999999999" customHeight="1" thickBot="1">
      <c r="A31" s="165" t="str">
        <f t="shared" si="0"/>
        <v>CAREER CERTIFICATE AND APPLIED TECHNOLOGY DIPLOMA</v>
      </c>
      <c r="B31" s="786">
        <f t="shared" si="0"/>
        <v>68.599999999999994</v>
      </c>
      <c r="C31" s="826">
        <v>205.82</v>
      </c>
      <c r="D31" s="826">
        <v>0</v>
      </c>
      <c r="E31" s="628"/>
      <c r="F31" s="826">
        <v>13.72</v>
      </c>
      <c r="G31" s="826">
        <v>13.72</v>
      </c>
      <c r="H31" s="667">
        <f>SUM(B31:G31)</f>
        <v>301.86</v>
      </c>
      <c r="I31" s="704">
        <f>H31*30</f>
        <v>9055.8000000000011</v>
      </c>
    </row>
    <row r="32" spans="1:11" s="50" customFormat="1" ht="19.899999999999999" customHeight="1" thickBot="1">
      <c r="A32" s="671"/>
      <c r="B32" s="668"/>
      <c r="C32" s="668"/>
      <c r="D32" s="668"/>
      <c r="E32" s="668"/>
      <c r="F32" s="668"/>
      <c r="G32" s="668"/>
      <c r="H32" s="668"/>
      <c r="I32" s="680"/>
    </row>
    <row r="33" spans="1:11" s="50" customFormat="1" ht="64.900000000000006" customHeight="1" thickBot="1">
      <c r="A33" s="681" t="s">
        <v>256</v>
      </c>
      <c r="B33" s="682" t="s">
        <v>504</v>
      </c>
      <c r="C33" s="718"/>
      <c r="D33" s="718"/>
      <c r="E33" s="718"/>
      <c r="F33" s="718"/>
      <c r="G33" s="718"/>
      <c r="H33" s="586" t="s">
        <v>2</v>
      </c>
      <c r="I33" s="1123" t="s">
        <v>610</v>
      </c>
      <c r="J33" s="33"/>
      <c r="K33" s="33"/>
    </row>
    <row r="34" spans="1:11" s="50" customFormat="1" ht="19.899999999999999" customHeight="1">
      <c r="A34" s="48" t="str">
        <f>A19</f>
        <v>VOCATIONAL PREPARATORY (PER TERM)</v>
      </c>
      <c r="B34" s="683">
        <f>B19</f>
        <v>0</v>
      </c>
      <c r="C34" s="716"/>
      <c r="D34" s="716"/>
      <c r="E34" s="716"/>
      <c r="F34" s="716"/>
      <c r="G34" s="716"/>
      <c r="H34" s="684">
        <f>B34</f>
        <v>0</v>
      </c>
      <c r="I34" s="705">
        <f>H34*3</f>
        <v>0</v>
      </c>
      <c r="J34" s="685"/>
      <c r="K34" s="685"/>
    </row>
    <row r="35" spans="1:11" s="50" customFormat="1" ht="19.899999999999999" customHeight="1" thickBot="1">
      <c r="A35" s="48" t="str">
        <f>A20</f>
        <v>ADULT GENERAL EDUCATION AND SECONDARY (PER TERM)</v>
      </c>
      <c r="B35" s="686">
        <f>B20</f>
        <v>0</v>
      </c>
      <c r="C35" s="717"/>
      <c r="D35" s="717"/>
      <c r="E35" s="717"/>
      <c r="F35" s="717"/>
      <c r="G35" s="717"/>
      <c r="H35" s="687">
        <f>B35</f>
        <v>0</v>
      </c>
      <c r="I35" s="706">
        <f>H35*3</f>
        <v>0</v>
      </c>
      <c r="J35" s="33"/>
      <c r="K35" s="33"/>
    </row>
    <row r="36" spans="1:11" s="50" customFormat="1" ht="19.899999999999999" customHeight="1" thickBot="1">
      <c r="A36" s="671"/>
      <c r="B36" s="843"/>
      <c r="C36" s="668"/>
      <c r="D36" s="668"/>
      <c r="E36" s="668"/>
      <c r="F36" s="668"/>
      <c r="G36" s="668"/>
      <c r="H36" s="843"/>
      <c r="I36" s="844"/>
      <c r="J36" s="33"/>
      <c r="K36" s="33"/>
    </row>
    <row r="37" spans="1:11" s="50" customFormat="1" ht="19.899999999999999" customHeight="1">
      <c r="A37" s="48" t="str">
        <f>A22</f>
        <v>VOCATIONAL PREPARATORY (PER HALF YEAR)</v>
      </c>
      <c r="B37" s="683">
        <f>B22</f>
        <v>0</v>
      </c>
      <c r="C37" s="715"/>
      <c r="D37" s="715"/>
      <c r="E37" s="715"/>
      <c r="F37" s="715"/>
      <c r="G37" s="715"/>
      <c r="H37" s="678">
        <f>B37</f>
        <v>0</v>
      </c>
      <c r="I37" s="703">
        <f>H37*2</f>
        <v>0</v>
      </c>
      <c r="J37" s="33"/>
      <c r="K37" s="33"/>
    </row>
    <row r="38" spans="1:11" s="50" customFormat="1" ht="19.899999999999999" customHeight="1" thickBot="1">
      <c r="A38" s="48" t="str">
        <f>A23</f>
        <v>ADULT GENERAL EDUCATION AND SECONDARY (PER HALF YEAR)</v>
      </c>
      <c r="B38" s="686">
        <f>B23</f>
        <v>0</v>
      </c>
      <c r="C38" s="717"/>
      <c r="D38" s="717"/>
      <c r="E38" s="717"/>
      <c r="F38" s="717"/>
      <c r="G38" s="717"/>
      <c r="H38" s="688">
        <f>B38</f>
        <v>0</v>
      </c>
      <c r="I38" s="707">
        <f>H38*2</f>
        <v>0</v>
      </c>
      <c r="J38" s="33"/>
      <c r="K38" s="33"/>
    </row>
    <row r="39" spans="1:11" s="50" customFormat="1" ht="19.899999999999999" customHeight="1">
      <c r="A39" s="48"/>
      <c r="B39" s="689" t="s">
        <v>268</v>
      </c>
      <c r="C39" s="33"/>
      <c r="D39" s="33"/>
      <c r="E39" s="33"/>
      <c r="F39" s="33"/>
      <c r="G39" s="33"/>
      <c r="H39" s="33"/>
      <c r="I39" s="33"/>
      <c r="J39" s="33"/>
      <c r="K39" s="33"/>
    </row>
    <row r="40" spans="1:11" ht="35.450000000000003" customHeight="1">
      <c r="A40" s="318"/>
      <c r="B40" s="1241" t="s">
        <v>784</v>
      </c>
      <c r="C40" s="1241"/>
      <c r="D40" s="1241"/>
      <c r="E40" s="1241"/>
      <c r="F40" s="1241"/>
      <c r="G40" s="1241"/>
      <c r="H40" s="1241"/>
      <c r="I40" s="1241"/>
      <c r="J40" s="312"/>
    </row>
    <row r="41" spans="1:11" ht="20.25" customHeight="1">
      <c r="A41" s="314"/>
      <c r="B41" s="1242"/>
      <c r="C41" s="1242"/>
      <c r="D41" s="1242"/>
      <c r="E41" s="1242"/>
      <c r="F41" s="1242"/>
      <c r="G41" s="1242"/>
      <c r="H41" s="1242"/>
      <c r="I41" s="1242"/>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0IvI5LjxvmkGTyeJjE8ndsKcJhSdvQLgWUZWI6egVkInILlg6sTFsqb3dr+EolacTRBEzUuUaYJ/cEG2gX6wLw==" saltValue="788OlSX5f5SN1+ZiflZON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K64" sqref="K64"/>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44" t="s">
        <v>259</v>
      </c>
      <c r="B2" s="1244"/>
      <c r="C2" s="1244"/>
      <c r="D2" s="1244"/>
      <c r="E2" s="1244"/>
      <c r="F2" s="1244"/>
      <c r="G2" s="1244"/>
      <c r="H2" s="1121"/>
      <c r="I2" s="317"/>
    </row>
    <row r="3" spans="1:10" ht="19.899999999999999" customHeight="1">
      <c r="A3" s="1244" t="s">
        <v>782</v>
      </c>
      <c r="B3" s="1244"/>
      <c r="C3" s="1244"/>
      <c r="D3" s="1244"/>
      <c r="E3" s="1244"/>
      <c r="F3" s="1244"/>
      <c r="G3" s="1244"/>
      <c r="H3" s="1121"/>
    </row>
    <row r="4" spans="1:10" ht="19.899999999999999" customHeight="1">
      <c r="A4" s="648"/>
      <c r="B4" s="648"/>
      <c r="C4" s="648"/>
      <c r="D4" s="648"/>
      <c r="E4" s="648"/>
      <c r="F4" s="648"/>
      <c r="G4" s="648"/>
      <c r="H4" s="547"/>
    </row>
    <row r="5" spans="1:10" ht="27.6" customHeight="1" thickBot="1">
      <c r="A5" s="1244" t="s">
        <v>233</v>
      </c>
      <c r="B5" s="1245" t="str">
        <f>'CHECK SHEET'!D7</f>
        <v>St. Petersburg College</v>
      </c>
      <c r="C5" s="1245"/>
      <c r="D5" s="1245"/>
      <c r="E5" s="1245"/>
      <c r="F5" s="1245"/>
      <c r="G5" s="648"/>
      <c r="H5" s="1243"/>
    </row>
    <row r="6" spans="1:10" ht="19.899999999999999" customHeight="1">
      <c r="A6" s="645"/>
      <c r="B6" s="645"/>
      <c r="C6" s="645"/>
      <c r="D6" s="645"/>
      <c r="E6" s="645"/>
      <c r="F6" s="645"/>
      <c r="G6" s="1243"/>
      <c r="H6" s="1243"/>
    </row>
    <row r="7" spans="1:10" ht="19.899999999999999" customHeight="1">
      <c r="A7" s="1119" t="s">
        <v>671</v>
      </c>
      <c r="B7" s="1119"/>
      <c r="C7" s="1119"/>
      <c r="D7" s="1119"/>
      <c r="E7" s="1119"/>
      <c r="F7" s="1119"/>
      <c r="G7" s="1119"/>
      <c r="H7" s="1119"/>
    </row>
    <row r="8" spans="1:10" ht="19.899999999999999"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3"/>
    </row>
    <row r="10" spans="1:10" ht="19.899999999999999" customHeight="1">
      <c r="A10" s="564" t="s">
        <v>7</v>
      </c>
      <c r="B10" s="565" t="s">
        <v>436</v>
      </c>
      <c r="C10" s="566">
        <v>40101</v>
      </c>
      <c r="D10" s="827">
        <v>85507.996513781996</v>
      </c>
      <c r="E10" s="828">
        <v>0</v>
      </c>
      <c r="F10" s="567">
        <f t="shared" ref="F10:F15" si="0">+D10-E10</f>
        <v>85507.996513781996</v>
      </c>
      <c r="G10" s="567">
        <f>'EXHIBIT B'!B14</f>
        <v>91.79</v>
      </c>
      <c r="H10" s="568">
        <f>ROUND(+F10*G10,0)</f>
        <v>7848779</v>
      </c>
      <c r="I10" s="213"/>
      <c r="J10" s="213"/>
    </row>
    <row r="11" spans="1:10" ht="19.899999999999999" customHeight="1">
      <c r="A11" s="569" t="s">
        <v>7</v>
      </c>
      <c r="B11" s="569" t="s">
        <v>338</v>
      </c>
      <c r="C11" s="570" t="s">
        <v>26</v>
      </c>
      <c r="D11" s="827">
        <v>303744.97158388898</v>
      </c>
      <c r="E11" s="827">
        <v>0</v>
      </c>
      <c r="F11" s="571">
        <f t="shared" si="0"/>
        <v>303744.97158388898</v>
      </c>
      <c r="G11" s="571">
        <f>+'EXHIBIT B'!B15</f>
        <v>80.94</v>
      </c>
      <c r="H11" s="572">
        <f t="shared" ref="H11:H15" si="1">ROUND(+F11*G11,0)</f>
        <v>24585118</v>
      </c>
      <c r="I11" s="213"/>
      <c r="J11" s="213"/>
    </row>
    <row r="12" spans="1:10" ht="19.899999999999999" customHeight="1">
      <c r="A12" s="569" t="s">
        <v>7</v>
      </c>
      <c r="B12" s="569" t="s">
        <v>27</v>
      </c>
      <c r="C12" s="570" t="s">
        <v>28</v>
      </c>
      <c r="D12" s="829">
        <v>116137.781072399</v>
      </c>
      <c r="E12" s="829">
        <v>0</v>
      </c>
      <c r="F12" s="571">
        <f t="shared" si="0"/>
        <v>116137.781072399</v>
      </c>
      <c r="G12" s="571">
        <f>+'EXHIBIT B'!B15</f>
        <v>80.94</v>
      </c>
      <c r="H12" s="572">
        <f t="shared" si="1"/>
        <v>9400192</v>
      </c>
      <c r="I12" s="213"/>
      <c r="J12" s="213"/>
    </row>
    <row r="13" spans="1:10" ht="19.899999999999999" customHeight="1">
      <c r="A13" s="569" t="s">
        <v>7</v>
      </c>
      <c r="B13" s="569" t="s">
        <v>527</v>
      </c>
      <c r="C13" s="570" t="s">
        <v>29</v>
      </c>
      <c r="D13" s="830">
        <v>6941.5160349850003</v>
      </c>
      <c r="E13" s="830">
        <v>0</v>
      </c>
      <c r="F13" s="571">
        <f t="shared" si="0"/>
        <v>6941.5160349850003</v>
      </c>
      <c r="G13" s="571">
        <f>+'EXHIBIT B'!B16</f>
        <v>68.599999999999994</v>
      </c>
      <c r="H13" s="572">
        <f t="shared" si="1"/>
        <v>476188</v>
      </c>
      <c r="I13" s="213"/>
      <c r="J13" s="213"/>
    </row>
    <row r="14" spans="1:10" ht="19.899999999999999" customHeight="1">
      <c r="A14" s="569" t="s">
        <v>7</v>
      </c>
      <c r="B14" s="569" t="s">
        <v>462</v>
      </c>
      <c r="C14" s="570" t="s">
        <v>30</v>
      </c>
      <c r="D14" s="827">
        <v>26801.025450951001</v>
      </c>
      <c r="E14" s="827">
        <v>0</v>
      </c>
      <c r="F14" s="571">
        <f t="shared" si="0"/>
        <v>26801.025450951001</v>
      </c>
      <c r="G14" s="571">
        <f>+'EXHIBIT B'!B15</f>
        <v>80.94</v>
      </c>
      <c r="H14" s="572">
        <f t="shared" si="1"/>
        <v>2169275</v>
      </c>
      <c r="I14" s="213"/>
      <c r="J14" s="213"/>
    </row>
    <row r="15" spans="1:10" ht="19.899999999999999" customHeight="1" thickBot="1">
      <c r="A15" s="573" t="s">
        <v>7</v>
      </c>
      <c r="B15" s="573" t="s">
        <v>246</v>
      </c>
      <c r="C15" s="574">
        <v>40160</v>
      </c>
      <c r="D15" s="831">
        <v>0</v>
      </c>
      <c r="E15" s="831">
        <v>0</v>
      </c>
      <c r="F15" s="575">
        <f t="shared" si="0"/>
        <v>0</v>
      </c>
      <c r="G15" s="575">
        <f>+'EXHIBIT B'!B15</f>
        <v>80.94</v>
      </c>
      <c r="H15" s="576">
        <f t="shared" si="1"/>
        <v>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539133.29065600596</v>
      </c>
      <c r="E17" s="583">
        <f>SUM(E10:E15)</f>
        <v>0</v>
      </c>
      <c r="F17" s="584">
        <f>SUM(F10:F15)</f>
        <v>539133.29065600596</v>
      </c>
      <c r="G17" s="584"/>
      <c r="H17" s="585">
        <f>SUM(H10:H15)</f>
        <v>44479552</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2">
        <v>2565.241534497</v>
      </c>
      <c r="E19" s="589">
        <f>'EXHIBIT B'!C29</f>
        <v>275.52999999999997</v>
      </c>
      <c r="F19" s="590">
        <f t="shared" ref="F19:F24" si="2">ROUND(+D19*E19,0)</f>
        <v>706801</v>
      </c>
      <c r="G19" s="591"/>
      <c r="H19" s="591"/>
    </row>
    <row r="20" spans="1:10" ht="19.899999999999999" customHeight="1">
      <c r="A20" s="592" t="s">
        <v>376</v>
      </c>
      <c r="B20" s="592" t="s">
        <v>338</v>
      </c>
      <c r="C20" s="593" t="s">
        <v>34</v>
      </c>
      <c r="D20" s="833">
        <v>8911.8677202950003</v>
      </c>
      <c r="E20" s="594">
        <f>+'EXHIBIT B'!C30</f>
        <v>242.97</v>
      </c>
      <c r="F20" s="595">
        <f t="shared" si="2"/>
        <v>2165317</v>
      </c>
      <c r="G20" s="596"/>
      <c r="H20" s="596"/>
    </row>
    <row r="21" spans="1:10" ht="19.899999999999999" customHeight="1">
      <c r="A21" s="592" t="s">
        <v>376</v>
      </c>
      <c r="B21" s="592" t="s">
        <v>27</v>
      </c>
      <c r="C21" s="593" t="s">
        <v>35</v>
      </c>
      <c r="D21" s="833">
        <v>2800.8725357039998</v>
      </c>
      <c r="E21" s="594">
        <f>+'EXHIBIT B'!C30</f>
        <v>242.97</v>
      </c>
      <c r="F21" s="595">
        <f t="shared" si="2"/>
        <v>680528</v>
      </c>
      <c r="G21" s="596"/>
      <c r="H21" s="596"/>
    </row>
    <row r="22" spans="1:10" ht="19.899999999999999" customHeight="1">
      <c r="A22" s="592" t="s">
        <v>376</v>
      </c>
      <c r="B22" s="592" t="s">
        <v>527</v>
      </c>
      <c r="C22" s="593" t="s">
        <v>36</v>
      </c>
      <c r="D22" s="833">
        <v>570.94859585999995</v>
      </c>
      <c r="E22" s="594">
        <f>+'EXHIBIT B'!C31</f>
        <v>205.82</v>
      </c>
      <c r="F22" s="595">
        <f t="shared" si="2"/>
        <v>117513</v>
      </c>
      <c r="G22" s="596"/>
      <c r="H22" s="596"/>
    </row>
    <row r="23" spans="1:10" ht="19.899999999999999" customHeight="1">
      <c r="A23" s="592" t="s">
        <v>376</v>
      </c>
      <c r="B23" s="592" t="s">
        <v>462</v>
      </c>
      <c r="C23" s="593" t="s">
        <v>37</v>
      </c>
      <c r="D23" s="833">
        <v>1688.5627855289999</v>
      </c>
      <c r="E23" s="594">
        <f>+'EXHIBIT B'!C30</f>
        <v>242.97</v>
      </c>
      <c r="F23" s="595">
        <f t="shared" si="2"/>
        <v>410270</v>
      </c>
      <c r="G23" s="596"/>
      <c r="H23" s="596"/>
    </row>
    <row r="24" spans="1:10" ht="19.899999999999999" customHeight="1" thickBot="1">
      <c r="A24" s="597" t="s">
        <v>376</v>
      </c>
      <c r="B24" s="597" t="s">
        <v>246</v>
      </c>
      <c r="C24" s="598">
        <v>40360</v>
      </c>
      <c r="D24" s="834">
        <v>0</v>
      </c>
      <c r="E24" s="599">
        <f>+'EXHIBIT B'!C30</f>
        <v>242.97</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16537.493171884998</v>
      </c>
      <c r="E26" s="606"/>
      <c r="F26" s="607">
        <f>SUM(F19:F24)</f>
        <v>4080429</v>
      </c>
      <c r="G26" s="608"/>
      <c r="H26" s="608"/>
    </row>
    <row r="27" spans="1:10" ht="19.899999999999999" customHeight="1" thickBot="1">
      <c r="A27" s="609" t="s">
        <v>565</v>
      </c>
      <c r="B27" s="609"/>
      <c r="C27" s="609"/>
      <c r="D27" s="609"/>
      <c r="E27" s="609"/>
      <c r="F27" s="610"/>
      <c r="G27" s="611"/>
      <c r="H27" s="612">
        <f>H17+F26</f>
        <v>48559981</v>
      </c>
    </row>
    <row r="28" spans="1:10" ht="24.95" customHeight="1">
      <c r="I28" s="302"/>
    </row>
    <row r="29" spans="1:10" ht="24.95" customHeight="1">
      <c r="A29" s="1119" t="s">
        <v>672</v>
      </c>
      <c r="B29" s="1119"/>
      <c r="C29" s="1119"/>
      <c r="D29" s="1119"/>
      <c r="E29" s="1119"/>
      <c r="F29" s="1119"/>
      <c r="G29" s="1119"/>
      <c r="H29" s="1119"/>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3" t="s">
        <v>563</v>
      </c>
      <c r="I31" s="302"/>
    </row>
    <row r="32" spans="1:10" ht="19.899999999999999" customHeight="1">
      <c r="A32" s="614" t="s">
        <v>381</v>
      </c>
      <c r="B32" s="614" t="s">
        <v>31</v>
      </c>
      <c r="C32" s="615" t="s">
        <v>32</v>
      </c>
      <c r="D32" s="835">
        <v>0</v>
      </c>
      <c r="E32" s="835">
        <v>0</v>
      </c>
      <c r="F32" s="616">
        <f>D32-E32</f>
        <v>0</v>
      </c>
      <c r="G32" s="616">
        <f>'EXHIBIT B'!B19</f>
        <v>0</v>
      </c>
      <c r="H32" s="617">
        <f>ROUND(+F32*G32,0)</f>
        <v>0</v>
      </c>
    </row>
    <row r="33" spans="1:12" ht="19.899999999999999" customHeight="1">
      <c r="A33" s="592" t="s">
        <v>381</v>
      </c>
      <c r="B33" s="592" t="s">
        <v>454</v>
      </c>
      <c r="C33" s="593" t="s">
        <v>33</v>
      </c>
      <c r="D33" s="836">
        <v>0</v>
      </c>
      <c r="E33" s="836">
        <v>0</v>
      </c>
      <c r="F33" s="594">
        <f>D33-E33</f>
        <v>0</v>
      </c>
      <c r="G33" s="594">
        <f>'EXHIBIT B'!B20</f>
        <v>0</v>
      </c>
      <c r="H33" s="595">
        <f>ROUND(+F33*G33,0)</f>
        <v>0</v>
      </c>
    </row>
    <row r="34" spans="1:12" ht="19.899999999999999" customHeight="1">
      <c r="A34" s="592" t="s">
        <v>382</v>
      </c>
      <c r="B34" s="592" t="s">
        <v>31</v>
      </c>
      <c r="C34" s="593">
        <v>40180</v>
      </c>
      <c r="D34" s="836">
        <v>0</v>
      </c>
      <c r="E34" s="836">
        <v>0</v>
      </c>
      <c r="F34" s="594">
        <f>D34-E34</f>
        <v>0</v>
      </c>
      <c r="G34" s="594">
        <f>'EXHIBIT B'!B22</f>
        <v>0</v>
      </c>
      <c r="H34" s="595">
        <f>ROUND(+F34*G34,0)</f>
        <v>0</v>
      </c>
    </row>
    <row r="35" spans="1:12" ht="19.899999999999999" customHeight="1" thickBot="1">
      <c r="A35" s="618" t="s">
        <v>382</v>
      </c>
      <c r="B35" s="618" t="s">
        <v>454</v>
      </c>
      <c r="C35" s="619">
        <v>40190</v>
      </c>
      <c r="D35" s="837">
        <v>0</v>
      </c>
      <c r="E35" s="837">
        <v>0</v>
      </c>
      <c r="F35" s="620">
        <f>D35-E35</f>
        <v>0</v>
      </c>
      <c r="G35" s="621">
        <f>'EXHIBIT B'!B23</f>
        <v>0</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5">
        <v>0</v>
      </c>
      <c r="E39" s="616">
        <f>'EXHIBIT B'!B34</f>
        <v>0</v>
      </c>
      <c r="F39" s="617">
        <f>D39*E39</f>
        <v>0</v>
      </c>
      <c r="G39" s="213"/>
      <c r="H39" s="213"/>
    </row>
    <row r="40" spans="1:12" ht="19.899999999999999" customHeight="1">
      <c r="A40" s="592" t="s">
        <v>381</v>
      </c>
      <c r="B40" s="592" t="s">
        <v>454</v>
      </c>
      <c r="C40" s="593">
        <v>40390</v>
      </c>
      <c r="D40" s="836">
        <v>0</v>
      </c>
      <c r="E40" s="594">
        <f>'EXHIBIT B'!B35</f>
        <v>0</v>
      </c>
      <c r="F40" s="595">
        <f>D40*E40</f>
        <v>0</v>
      </c>
      <c r="G40" s="35"/>
      <c r="H40" s="35"/>
    </row>
    <row r="41" spans="1:12" ht="19.899999999999999" customHeight="1">
      <c r="A41" s="592" t="s">
        <v>382</v>
      </c>
      <c r="B41" s="592" t="s">
        <v>31</v>
      </c>
      <c r="C41" s="593" t="s">
        <v>38</v>
      </c>
      <c r="D41" s="836">
        <v>0</v>
      </c>
      <c r="E41" s="594">
        <f>'EXHIBIT B'!B37</f>
        <v>0</v>
      </c>
      <c r="F41" s="595">
        <f>D41*E41</f>
        <v>0</v>
      </c>
      <c r="G41" s="35"/>
      <c r="H41" s="35"/>
    </row>
    <row r="42" spans="1:12" ht="19.899999999999999" customHeight="1" thickBot="1">
      <c r="A42" s="633" t="s">
        <v>382</v>
      </c>
      <c r="B42" s="633" t="s">
        <v>454</v>
      </c>
      <c r="C42" s="634" t="s">
        <v>39</v>
      </c>
      <c r="D42" s="838">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1">
        <f>H27+H44</f>
        <v>48559981</v>
      </c>
      <c r="K46" s="28"/>
      <c r="L46" s="28"/>
    </row>
    <row r="47" spans="1:12" ht="24.75" customHeight="1">
      <c r="A47" s="1124"/>
      <c r="B47" s="1124"/>
      <c r="C47" s="1124"/>
      <c r="D47" s="1124"/>
      <c r="E47" s="1124"/>
      <c r="F47" s="1124"/>
      <c r="G47" s="646"/>
      <c r="H47" s="646"/>
      <c r="K47" s="28"/>
      <c r="L47" s="28"/>
    </row>
    <row r="48" spans="1:12" ht="24.95" customHeight="1">
      <c r="A48" s="1111" t="s">
        <v>387</v>
      </c>
      <c r="B48" s="29"/>
      <c r="C48" s="29"/>
      <c r="D48" s="29"/>
      <c r="E48" s="29"/>
      <c r="F48" s="29"/>
      <c r="G48" s="29"/>
      <c r="H48" s="544" t="s">
        <v>23</v>
      </c>
    </row>
    <row r="49" spans="1:10" ht="24.95" customHeight="1">
      <c r="A49" s="1111"/>
      <c r="B49" s="29"/>
      <c r="C49" s="29"/>
      <c r="D49" s="29"/>
      <c r="E49" s="29"/>
      <c r="F49" s="29"/>
      <c r="G49" s="29"/>
    </row>
    <row r="50" spans="1:10" ht="43.15" customHeight="1" thickBot="1">
      <c r="A50" s="1246" t="s">
        <v>605</v>
      </c>
      <c r="B50" s="1246"/>
      <c r="C50" s="29"/>
      <c r="D50" s="29"/>
      <c r="E50" s="29"/>
      <c r="F50" s="29"/>
      <c r="G50" s="29"/>
      <c r="H50" s="29"/>
    </row>
    <row r="51" spans="1:10" ht="44.45" customHeight="1" thickBot="1">
      <c r="A51" s="548" t="s">
        <v>505</v>
      </c>
      <c r="B51" s="548" t="s">
        <v>41</v>
      </c>
      <c r="C51" s="1122" t="s">
        <v>568</v>
      </c>
      <c r="D51" s="1123"/>
      <c r="E51" s="1122" t="s">
        <v>569</v>
      </c>
      <c r="F51" s="1123"/>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1070" t="s">
        <v>791</v>
      </c>
      <c r="B54" s="839">
        <v>850000</v>
      </c>
      <c r="C54" s="1354" t="s">
        <v>786</v>
      </c>
      <c r="D54" s="1348"/>
      <c r="E54" s="1354" t="s">
        <v>787</v>
      </c>
      <c r="F54" s="1348"/>
    </row>
    <row r="55" spans="1:10" ht="24.95" customHeight="1">
      <c r="A55" s="872"/>
      <c r="B55" s="840">
        <v>0</v>
      </c>
      <c r="C55" s="1355"/>
      <c r="D55" s="1348"/>
      <c r="E55" s="1355"/>
      <c r="F55" s="1348"/>
      <c r="J55" s="162"/>
    </row>
    <row r="56" spans="1:10" ht="24.95" customHeight="1">
      <c r="A56" s="872"/>
      <c r="B56" s="840">
        <v>0</v>
      </c>
      <c r="C56" s="1355"/>
      <c r="D56" s="1348"/>
      <c r="E56" s="1355"/>
      <c r="F56" s="1348"/>
      <c r="I56" s="213"/>
    </row>
    <row r="57" spans="1:10" ht="24.95" customHeight="1">
      <c r="A57" s="872"/>
      <c r="B57" s="840">
        <v>0</v>
      </c>
      <c r="C57" s="1355"/>
      <c r="D57" s="1348"/>
      <c r="E57" s="1355"/>
      <c r="F57" s="1348"/>
      <c r="I57" s="213"/>
    </row>
    <row r="58" spans="1:10" ht="24.95" customHeight="1">
      <c r="A58" s="872"/>
      <c r="B58" s="840">
        <v>0</v>
      </c>
      <c r="C58" s="1355"/>
      <c r="D58" s="1348"/>
      <c r="E58" s="1355"/>
      <c r="F58" s="1348"/>
      <c r="I58" s="213"/>
    </row>
    <row r="59" spans="1:10" ht="24.95" customHeight="1" thickBot="1">
      <c r="A59" s="873"/>
      <c r="B59" s="841">
        <v>0</v>
      </c>
      <c r="C59" s="1356"/>
      <c r="D59" s="1349"/>
      <c r="E59" s="1356"/>
      <c r="F59" s="1349"/>
      <c r="I59" s="213"/>
      <c r="J59" s="164"/>
    </row>
    <row r="60" spans="1:10" ht="24.95" customHeight="1" thickBot="1">
      <c r="A60" s="556" t="s">
        <v>247</v>
      </c>
      <c r="B60" s="557">
        <f>SUM(B54:B59)</f>
        <v>850000</v>
      </c>
      <c r="C60" s="1357"/>
      <c r="D60" s="1350"/>
      <c r="E60" s="1357"/>
      <c r="F60" s="1350"/>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1068" t="s">
        <v>789</v>
      </c>
      <c r="B63" s="842">
        <f>592587.02+1085320.98</f>
        <v>1677908</v>
      </c>
      <c r="C63" s="1354" t="s">
        <v>786</v>
      </c>
      <c r="D63" s="1351"/>
      <c r="E63" s="1354" t="s">
        <v>786</v>
      </c>
      <c r="F63" s="1351"/>
      <c r="I63" s="213"/>
    </row>
    <row r="64" spans="1:10" ht="24.95" customHeight="1">
      <c r="A64" s="1069" t="s">
        <v>790</v>
      </c>
      <c r="B64" s="833">
        <f>2489780.58+10219</f>
        <v>2499999.58</v>
      </c>
      <c r="C64" s="1355" t="s">
        <v>788</v>
      </c>
      <c r="D64" s="1348"/>
      <c r="E64" s="1355" t="s">
        <v>786</v>
      </c>
      <c r="F64" s="1348"/>
      <c r="I64" s="213"/>
    </row>
    <row r="65" spans="1:9" ht="24.95" customHeight="1">
      <c r="A65" s="872"/>
      <c r="B65" s="840">
        <v>0</v>
      </c>
      <c r="C65" s="1355"/>
      <c r="D65" s="1348"/>
      <c r="E65" s="1355"/>
      <c r="F65" s="1348"/>
      <c r="I65" s="213"/>
    </row>
    <row r="66" spans="1:9" ht="24.95" customHeight="1">
      <c r="A66" s="872"/>
      <c r="B66" s="840">
        <v>0</v>
      </c>
      <c r="C66" s="1355"/>
      <c r="D66" s="1348"/>
      <c r="E66" s="1355"/>
      <c r="F66" s="1348"/>
      <c r="I66" s="213"/>
    </row>
    <row r="67" spans="1:9" ht="24.95" customHeight="1">
      <c r="A67" s="872"/>
      <c r="B67" s="840">
        <v>0</v>
      </c>
      <c r="C67" s="1355"/>
      <c r="D67" s="1348"/>
      <c r="E67" s="1355"/>
      <c r="F67" s="1348"/>
    </row>
    <row r="68" spans="1:9" ht="24.95" customHeight="1" thickBot="1">
      <c r="A68" s="873"/>
      <c r="B68" s="841">
        <v>0</v>
      </c>
      <c r="C68" s="1356"/>
      <c r="D68" s="1349"/>
      <c r="E68" s="1356"/>
      <c r="F68" s="1349"/>
    </row>
    <row r="69" spans="1:9" ht="24.95" customHeight="1" thickBot="1">
      <c r="A69" s="556" t="s">
        <v>248</v>
      </c>
      <c r="B69" s="557">
        <f>SUM(B63:B68)</f>
        <v>4177907.58</v>
      </c>
      <c r="C69" s="1358"/>
      <c r="D69" s="1352"/>
      <c r="E69" s="1358"/>
      <c r="F69" s="1352"/>
    </row>
    <row r="70" spans="1:9" ht="24.95" customHeight="1" thickBot="1">
      <c r="A70" s="556" t="s">
        <v>44</v>
      </c>
      <c r="B70" s="557">
        <f>+B69+B60</f>
        <v>5027907.58</v>
      </c>
      <c r="C70" s="1358"/>
      <c r="D70" s="1352"/>
      <c r="E70" s="1359"/>
      <c r="F70" s="135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VMOB+J3GiMIzdExq6KL/YF3XG2NwBxGh7I8v6j0eWVqhQlSwG9J3six4waCkvj2MLjMgpVpQGdjQKazq6DdhrQ==" saltValue="7jKGM1SqMIsTVzmDFKCfL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2" sqref="H12"/>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9"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5" t="s">
        <v>450</v>
      </c>
      <c r="F1" s="546"/>
      <c r="AI1" s="33"/>
    </row>
    <row r="2" spans="1:47" s="50" customFormat="1" ht="24" customHeight="1">
      <c r="A2" s="1239"/>
      <c r="B2" s="1239"/>
      <c r="C2" s="1239"/>
      <c r="D2" s="1239"/>
      <c r="E2" s="1239"/>
      <c r="F2" s="1239"/>
      <c r="AI2" s="33"/>
    </row>
    <row r="3" spans="1:47" s="50" customFormat="1" ht="24" customHeight="1">
      <c r="A3" s="1236" t="s">
        <v>259</v>
      </c>
      <c r="B3" s="1236"/>
      <c r="C3" s="1236"/>
      <c r="D3" s="1236"/>
      <c r="E3" s="1236"/>
      <c r="F3" s="1239"/>
    </row>
    <row r="4" spans="1:47" s="50" customFormat="1" ht="23.45" customHeight="1">
      <c r="A4" s="1236" t="s">
        <v>608</v>
      </c>
      <c r="B4" s="1236"/>
      <c r="C4" s="1236"/>
      <c r="D4" s="1236"/>
      <c r="E4" s="1236"/>
      <c r="F4" s="1239"/>
    </row>
    <row r="5" spans="1:47" s="50" customFormat="1" ht="22.9" customHeight="1">
      <c r="A5" s="1235"/>
      <c r="B5" s="1235"/>
      <c r="C5" s="1235"/>
      <c r="D5" s="1235"/>
      <c r="E5" s="1235"/>
      <c r="F5" s="1239"/>
    </row>
    <row r="6" spans="1:47" s="50" customFormat="1" ht="24.95" customHeight="1">
      <c r="A6" s="1239"/>
      <c r="B6" s="1239"/>
      <c r="C6" s="1239"/>
      <c r="D6" s="1239"/>
      <c r="E6" s="1239"/>
      <c r="F6" s="1239"/>
    </row>
    <row r="7" spans="1:47" s="50" customFormat="1" ht="24.95" customHeight="1" thickBot="1">
      <c r="A7" s="1235" t="s">
        <v>233</v>
      </c>
      <c r="B7" s="1240" t="str">
        <f>'CHECK SHEET'!D7</f>
        <v>St. Petersburg College</v>
      </c>
      <c r="C7" s="1240"/>
      <c r="D7" s="1240"/>
      <c r="E7" s="1240"/>
      <c r="F7" s="1240"/>
    </row>
    <row r="8" spans="1:47" s="50" customFormat="1" ht="24.95" customHeight="1">
      <c r="A8" s="1247"/>
      <c r="B8" s="1247"/>
      <c r="C8" s="1247"/>
      <c r="D8" s="1247"/>
      <c r="E8" s="1247"/>
      <c r="F8" s="1210"/>
    </row>
    <row r="9" spans="1:47" s="50" customFormat="1" ht="24.95" customHeight="1">
      <c r="A9" s="1242"/>
      <c r="B9" s="1248"/>
      <c r="C9" s="1248"/>
      <c r="D9" s="1248"/>
      <c r="E9" s="1248"/>
      <c r="F9" s="1210"/>
    </row>
    <row r="10" spans="1:47" s="50" customFormat="1" ht="42.6" customHeight="1">
      <c r="A10" s="1249" t="s">
        <v>711</v>
      </c>
      <c r="B10" s="1249"/>
      <c r="C10" s="1249"/>
      <c r="D10" s="1249"/>
      <c r="E10" s="1249"/>
      <c r="F10" s="1210"/>
    </row>
    <row r="11" spans="1:47" ht="24.95" customHeight="1" thickBot="1">
      <c r="A11" s="796"/>
      <c r="B11" s="796"/>
      <c r="C11" s="796"/>
      <c r="D11" s="796"/>
      <c r="E11" s="796"/>
      <c r="AI11" s="315"/>
      <c r="AT11" s="314"/>
      <c r="AU11" s="314"/>
    </row>
    <row r="12" spans="1:47" s="1187" customFormat="1" ht="78" customHeight="1" thickBot="1">
      <c r="A12" s="797" t="s">
        <v>24</v>
      </c>
      <c r="B12" s="797" t="s">
        <v>25</v>
      </c>
      <c r="C12" s="798" t="s">
        <v>405</v>
      </c>
      <c r="D12" s="798" t="s">
        <v>623</v>
      </c>
      <c r="E12" s="798" t="s">
        <v>575</v>
      </c>
    </row>
    <row r="13" spans="1:47" ht="24" customHeight="1">
      <c r="A13" s="799" t="s">
        <v>7</v>
      </c>
      <c r="B13" s="799" t="s">
        <v>436</v>
      </c>
      <c r="C13" s="800">
        <v>40101</v>
      </c>
      <c r="D13" s="945">
        <v>0</v>
      </c>
      <c r="E13" s="945">
        <v>0</v>
      </c>
      <c r="AI13" s="315"/>
    </row>
    <row r="14" spans="1:47" ht="24.95" customHeight="1">
      <c r="A14" s="946" t="s">
        <v>7</v>
      </c>
      <c r="B14" s="946" t="s">
        <v>338</v>
      </c>
      <c r="C14" s="947" t="s">
        <v>26</v>
      </c>
      <c r="D14" s="845">
        <v>0</v>
      </c>
      <c r="E14" s="845">
        <v>0</v>
      </c>
      <c r="AI14" s="315"/>
    </row>
    <row r="15" spans="1:47" ht="24.95" customHeight="1">
      <c r="A15" s="946" t="s">
        <v>7</v>
      </c>
      <c r="B15" s="946" t="s">
        <v>27</v>
      </c>
      <c r="C15" s="947" t="s">
        <v>28</v>
      </c>
      <c r="D15" s="845">
        <v>0</v>
      </c>
      <c r="E15" s="845">
        <v>0</v>
      </c>
      <c r="AI15" s="315"/>
    </row>
    <row r="16" spans="1:47" ht="24.95" customHeight="1">
      <c r="A16" s="946" t="s">
        <v>7</v>
      </c>
      <c r="B16" s="946" t="s">
        <v>527</v>
      </c>
      <c r="C16" s="947" t="s">
        <v>29</v>
      </c>
      <c r="D16" s="845">
        <v>0</v>
      </c>
      <c r="E16" s="845">
        <v>0</v>
      </c>
      <c r="AI16" s="315"/>
    </row>
    <row r="17" spans="1:46" ht="24.95" customHeight="1">
      <c r="A17" s="946" t="s">
        <v>7</v>
      </c>
      <c r="B17" s="946" t="s">
        <v>462</v>
      </c>
      <c r="C17" s="947" t="s">
        <v>30</v>
      </c>
      <c r="D17" s="846">
        <v>0</v>
      </c>
      <c r="E17" s="846">
        <v>0</v>
      </c>
      <c r="AI17" s="315"/>
    </row>
    <row r="18" spans="1:46" ht="24.95" customHeight="1" thickBot="1">
      <c r="A18" s="946" t="s">
        <v>7</v>
      </c>
      <c r="B18" s="946" t="s">
        <v>246</v>
      </c>
      <c r="C18" s="947">
        <v>40160</v>
      </c>
      <c r="D18" s="847">
        <v>0</v>
      </c>
      <c r="E18" s="847">
        <v>0</v>
      </c>
      <c r="AI18" s="315"/>
    </row>
    <row r="19" spans="1:46" ht="24.95" customHeight="1" thickBot="1">
      <c r="A19" s="801"/>
      <c r="B19" s="948"/>
      <c r="C19" s="949"/>
      <c r="D19" s="801"/>
      <c r="E19" s="950"/>
      <c r="AI19" s="315"/>
    </row>
    <row r="20" spans="1:46" ht="24.95" customHeight="1" thickBot="1">
      <c r="A20" s="951"/>
      <c r="B20" s="952" t="s">
        <v>260</v>
      </c>
      <c r="C20" s="952"/>
      <c r="D20" s="952"/>
      <c r="E20" s="953">
        <f>SUM(E13:E18)</f>
        <v>0</v>
      </c>
      <c r="AI20" s="315"/>
    </row>
    <row r="21" spans="1:46" ht="78" customHeight="1" thickBot="1">
      <c r="A21" s="797" t="s">
        <v>24</v>
      </c>
      <c r="B21" s="797" t="s">
        <v>25</v>
      </c>
      <c r="C21" s="798" t="s">
        <v>405</v>
      </c>
      <c r="D21" s="798" t="s">
        <v>503</v>
      </c>
      <c r="E21" s="798" t="s">
        <v>575</v>
      </c>
      <c r="AI21" s="315"/>
    </row>
    <row r="22" spans="1:46" s="312" customFormat="1" ht="24.95" customHeight="1">
      <c r="A22" s="954" t="s">
        <v>376</v>
      </c>
      <c r="B22" s="955" t="s">
        <v>436</v>
      </c>
      <c r="C22" s="956">
        <v>40301</v>
      </c>
      <c r="D22" s="945">
        <v>0</v>
      </c>
      <c r="E22" s="945">
        <v>0</v>
      </c>
    </row>
    <row r="23" spans="1:46" s="312" customFormat="1" ht="24.95" customHeight="1">
      <c r="A23" s="946" t="s">
        <v>376</v>
      </c>
      <c r="B23" s="957" t="s">
        <v>338</v>
      </c>
      <c r="C23" s="958" t="s">
        <v>34</v>
      </c>
      <c r="D23" s="959">
        <v>0</v>
      </c>
      <c r="E23" s="959">
        <v>0</v>
      </c>
    </row>
    <row r="24" spans="1:46" s="312" customFormat="1" ht="24.95" customHeight="1">
      <c r="A24" s="946" t="s">
        <v>376</v>
      </c>
      <c r="B24" s="957" t="s">
        <v>27</v>
      </c>
      <c r="C24" s="958" t="s">
        <v>35</v>
      </c>
      <c r="D24" s="959">
        <v>0</v>
      </c>
      <c r="E24" s="959">
        <v>0</v>
      </c>
    </row>
    <row r="25" spans="1:46" s="312" customFormat="1" ht="24.95" customHeight="1">
      <c r="A25" s="946" t="s">
        <v>376</v>
      </c>
      <c r="B25" s="957" t="s">
        <v>527</v>
      </c>
      <c r="C25" s="958" t="s">
        <v>36</v>
      </c>
      <c r="D25" s="959">
        <v>0</v>
      </c>
      <c r="E25" s="959">
        <v>0</v>
      </c>
    </row>
    <row r="26" spans="1:46" s="312" customFormat="1" ht="24.95" customHeight="1">
      <c r="A26" s="946" t="s">
        <v>376</v>
      </c>
      <c r="B26" s="957" t="s">
        <v>462</v>
      </c>
      <c r="C26" s="958" t="s">
        <v>37</v>
      </c>
      <c r="D26" s="959">
        <v>0</v>
      </c>
      <c r="E26" s="959">
        <v>0</v>
      </c>
    </row>
    <row r="27" spans="1:46" s="312" customFormat="1" ht="24.95" customHeight="1" thickBot="1">
      <c r="A27" s="720" t="s">
        <v>376</v>
      </c>
      <c r="B27" s="955" t="s">
        <v>246</v>
      </c>
      <c r="C27" s="802">
        <v>40360</v>
      </c>
      <c r="D27" s="847">
        <v>0</v>
      </c>
      <c r="E27" s="848">
        <v>0</v>
      </c>
    </row>
    <row r="28" spans="1:46" ht="24.95" customHeight="1" thickBot="1">
      <c r="A28" s="960"/>
      <c r="B28" s="961"/>
      <c r="C28" s="960"/>
      <c r="D28" s="803"/>
      <c r="E28" s="962"/>
      <c r="AI28" s="315"/>
    </row>
    <row r="29" spans="1:46" ht="24.95" customHeight="1" thickBot="1">
      <c r="A29" s="963"/>
      <c r="B29" s="964" t="s">
        <v>260</v>
      </c>
      <c r="C29" s="804"/>
      <c r="D29" s="804"/>
      <c r="E29" s="965">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0" t="s">
        <v>384</v>
      </c>
      <c r="B32" s="796"/>
      <c r="C32" s="796"/>
      <c r="D32" s="796"/>
      <c r="E32" s="796"/>
      <c r="AI32" s="315"/>
    </row>
    <row r="33" spans="1:46" ht="24.95" customHeight="1">
      <c r="A33" s="1125"/>
      <c r="B33" s="1126"/>
      <c r="C33" s="1126"/>
      <c r="D33" s="1126"/>
      <c r="E33" s="1127"/>
      <c r="AI33" s="315"/>
    </row>
    <row r="34" spans="1:46" ht="24.95" customHeight="1">
      <c r="A34" s="1128"/>
      <c r="B34" s="1129"/>
      <c r="C34" s="1129"/>
      <c r="D34" s="1129"/>
      <c r="E34" s="1130"/>
      <c r="AI34" s="315"/>
    </row>
    <row r="35" spans="1:46" s="805" customFormat="1" ht="24.95" customHeight="1">
      <c r="A35" s="1128"/>
      <c r="B35" s="1129"/>
      <c r="C35" s="1129"/>
      <c r="D35" s="1129"/>
      <c r="E35" s="1130"/>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8"/>
      <c r="B36" s="1129"/>
      <c r="C36" s="1129"/>
      <c r="D36" s="1129"/>
      <c r="E36" s="1130"/>
      <c r="AI36" s="315"/>
    </row>
    <row r="37" spans="1:46" ht="24.95" customHeight="1" thickBot="1">
      <c r="A37" s="1131"/>
      <c r="B37" s="1132"/>
      <c r="C37" s="1132"/>
      <c r="D37" s="1132"/>
      <c r="E37" s="1133"/>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3SzLKK5nkZ5SuZ28+yC9MFU7DBrjUV8jiVBwIRbi8hMuf2fM0zH4btAPPjccE05GTxe+U1LOZIpmMa1cOXAWFw==" saltValue="U14+zfS/rKYfGwRdthVwrQ=="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3" zoomScaleNormal="73" zoomScaleSheetLayoutView="70" zoomScalePageLayoutView="80" workbookViewId="0">
      <selection activeCell="E13" sqref="E13"/>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8"/>
    </row>
    <row r="2" spans="1:8" ht="30" customHeight="1" thickBot="1">
      <c r="A2" s="1250" t="s">
        <v>15</v>
      </c>
      <c r="B2" s="1240" t="str">
        <f>'CHECK SHEET'!D7</f>
        <v>St. Petersburg College</v>
      </c>
      <c r="C2" s="1240"/>
      <c r="D2" s="1240"/>
      <c r="E2" s="1240"/>
      <c r="F2" s="1240"/>
      <c r="G2" s="1251"/>
    </row>
    <row r="3" spans="1:8" ht="22.9" customHeight="1">
      <c r="A3" s="1236" t="s">
        <v>510</v>
      </c>
      <c r="B3" s="1236"/>
      <c r="C3" s="1236"/>
      <c r="D3" s="1236"/>
      <c r="E3" s="1236"/>
      <c r="F3" s="1236"/>
      <c r="G3" s="1236"/>
    </row>
    <row r="4" spans="1:8" ht="23.45" customHeight="1">
      <c r="A4" s="1236" t="s">
        <v>45</v>
      </c>
      <c r="B4" s="1236"/>
      <c r="C4" s="1236"/>
      <c r="D4" s="1236"/>
      <c r="E4" s="1236"/>
      <c r="F4" s="1236"/>
      <c r="G4" s="1236"/>
    </row>
    <row r="5" spans="1:8" ht="23.45" customHeight="1">
      <c r="A5" s="1236" t="s">
        <v>781</v>
      </c>
      <c r="B5" s="1236"/>
      <c r="C5" s="1236"/>
      <c r="D5" s="1236"/>
      <c r="E5" s="1236"/>
      <c r="F5" s="1236"/>
      <c r="G5" s="1236"/>
    </row>
    <row r="6" spans="1:8" ht="19.899999999999999" customHeight="1">
      <c r="A6" s="1252"/>
      <c r="B6" s="1252"/>
      <c r="C6" s="1252"/>
      <c r="D6" s="1252"/>
      <c r="E6" s="1252"/>
      <c r="F6" s="1252"/>
      <c r="G6" s="1252"/>
    </row>
    <row r="7" spans="1:8" ht="38.450000000000003" customHeight="1">
      <c r="A7" s="1253" t="s">
        <v>656</v>
      </c>
      <c r="B7" s="1253"/>
      <c r="C7" s="1253"/>
      <c r="D7" s="1253"/>
      <c r="E7" s="1253"/>
      <c r="F7" s="1253"/>
      <c r="G7" s="1253"/>
      <c r="H7" s="322"/>
    </row>
    <row r="8" spans="1:8" ht="19.899999999999999" customHeight="1">
      <c r="A8" s="321"/>
      <c r="B8" s="321"/>
      <c r="C8" s="321"/>
      <c r="D8" s="321"/>
      <c r="E8" s="321"/>
      <c r="F8" s="321"/>
      <c r="G8" s="321"/>
      <c r="H8" s="1062"/>
    </row>
    <row r="9" spans="1:8" ht="76.150000000000006" customHeight="1">
      <c r="A9" s="1040" t="s">
        <v>46</v>
      </c>
      <c r="B9" s="1041" t="s">
        <v>47</v>
      </c>
      <c r="C9" s="1041"/>
      <c r="D9" s="1041"/>
      <c r="E9" s="1041"/>
      <c r="F9" s="1042" t="s">
        <v>405</v>
      </c>
      <c r="G9" s="1043" t="s">
        <v>670</v>
      </c>
      <c r="H9" s="316"/>
    </row>
    <row r="10" spans="1:8" ht="19.899999999999999" customHeight="1">
      <c r="A10" s="1063" t="s">
        <v>539</v>
      </c>
      <c r="B10" s="1064"/>
      <c r="C10" s="1064"/>
      <c r="D10" s="1064"/>
      <c r="E10" s="1064"/>
      <c r="F10" s="1065"/>
      <c r="G10" s="1066"/>
      <c r="H10" s="316"/>
    </row>
    <row r="11" spans="1:8" ht="19.899999999999999" customHeight="1">
      <c r="A11" s="969"/>
      <c r="B11" s="323"/>
      <c r="C11" s="323"/>
      <c r="D11" s="323"/>
      <c r="E11" s="323"/>
      <c r="F11" s="324"/>
      <c r="G11" s="325"/>
      <c r="H11" s="316"/>
    </row>
    <row r="12" spans="1:8" ht="19.899999999999999" customHeight="1">
      <c r="A12" s="970" t="s">
        <v>7</v>
      </c>
      <c r="B12" s="326"/>
      <c r="C12" s="326" t="s">
        <v>436</v>
      </c>
      <c r="D12" s="326"/>
      <c r="E12" s="326"/>
      <c r="F12" s="327">
        <v>40101</v>
      </c>
      <c r="G12" s="328">
        <f>+'EXHIBIT C'!H10+'EXHIBIT C(2)'!E13</f>
        <v>7848779</v>
      </c>
      <c r="H12" s="316"/>
    </row>
    <row r="13" spans="1:8" ht="19.899999999999999" customHeight="1">
      <c r="A13" s="969" t="s">
        <v>7</v>
      </c>
      <c r="B13" s="323"/>
      <c r="C13" s="316" t="s">
        <v>338</v>
      </c>
      <c r="D13" s="323"/>
      <c r="E13" s="323"/>
      <c r="F13" s="329" t="s">
        <v>26</v>
      </c>
      <c r="G13" s="328">
        <f>+'EXHIBIT C'!H11+'EXHIBIT C(2)'!E14</f>
        <v>24585118</v>
      </c>
      <c r="H13" s="316"/>
    </row>
    <row r="14" spans="1:8" ht="19.899999999999999" customHeight="1">
      <c r="A14" s="969" t="s">
        <v>7</v>
      </c>
      <c r="B14" s="323"/>
      <c r="C14" s="323" t="s">
        <v>27</v>
      </c>
      <c r="D14" s="323"/>
      <c r="E14" s="323"/>
      <c r="F14" s="329" t="s">
        <v>28</v>
      </c>
      <c r="G14" s="1045">
        <f>+'EXHIBIT C'!H12+'EXHIBIT C(2)'!E15</f>
        <v>9400192</v>
      </c>
      <c r="H14" s="316"/>
    </row>
    <row r="15" spans="1:8" ht="19.899999999999999" customHeight="1">
      <c r="A15" s="969" t="s">
        <v>7</v>
      </c>
      <c r="B15" s="323"/>
      <c r="C15" s="330" t="s">
        <v>485</v>
      </c>
      <c r="D15" s="323"/>
      <c r="E15" s="323"/>
      <c r="F15" s="329" t="s">
        <v>29</v>
      </c>
      <c r="G15" s="1045">
        <f>+'EXHIBIT C'!H13+'EXHIBIT C(2)'!E16</f>
        <v>476188</v>
      </c>
      <c r="H15" s="316"/>
    </row>
    <row r="16" spans="1:8" ht="19.899999999999999" customHeight="1">
      <c r="A16" s="969" t="s">
        <v>7</v>
      </c>
      <c r="B16" s="323"/>
      <c r="C16" s="330" t="s">
        <v>484</v>
      </c>
      <c r="D16" s="323"/>
      <c r="E16" s="323"/>
      <c r="F16" s="329" t="s">
        <v>30</v>
      </c>
      <c r="G16" s="1046">
        <f>+'EXHIBIT C'!H14+'EXHIBIT C(2)'!E17</f>
        <v>2169275</v>
      </c>
      <c r="H16" s="316"/>
    </row>
    <row r="17" spans="1:8" ht="19.899999999999999" customHeight="1">
      <c r="A17" s="969" t="s">
        <v>7</v>
      </c>
      <c r="B17" s="323"/>
      <c r="C17" s="316" t="s">
        <v>246</v>
      </c>
      <c r="D17" s="323"/>
      <c r="E17" s="323"/>
      <c r="F17" s="332">
        <v>40160</v>
      </c>
      <c r="G17" s="1046">
        <f>+'EXHIBIT C'!H15+'EXHIBIT C(2)'!E18</f>
        <v>0</v>
      </c>
      <c r="H17" s="316"/>
    </row>
    <row r="18" spans="1:8" ht="19.899999999999999" customHeight="1">
      <c r="A18" s="969"/>
      <c r="B18" s="323"/>
      <c r="C18" s="323"/>
      <c r="D18" s="323"/>
      <c r="E18" s="323"/>
      <c r="F18" s="329"/>
      <c r="G18" s="331"/>
      <c r="H18" s="316"/>
    </row>
    <row r="19" spans="1:8" ht="19.899999999999999" customHeight="1">
      <c r="A19" s="971" t="s">
        <v>571</v>
      </c>
      <c r="B19" s="323"/>
      <c r="C19" s="323"/>
      <c r="D19" s="323"/>
      <c r="E19" s="323"/>
      <c r="F19" s="329"/>
      <c r="G19" s="972">
        <f>SUM(G12:G17)</f>
        <v>44479552</v>
      </c>
      <c r="H19" s="316"/>
    </row>
    <row r="20" spans="1:8" ht="19.899999999999999" customHeight="1">
      <c r="A20" s="969"/>
      <c r="B20" s="323"/>
      <c r="C20" s="323"/>
      <c r="D20" s="323"/>
      <c r="E20" s="323"/>
      <c r="F20" s="329"/>
      <c r="G20" s="333"/>
      <c r="H20" s="316"/>
    </row>
    <row r="21" spans="1:8" ht="19.899999999999999" customHeight="1">
      <c r="A21" s="970" t="s">
        <v>376</v>
      </c>
      <c r="B21" s="326"/>
      <c r="C21" s="326" t="s">
        <v>436</v>
      </c>
      <c r="D21" s="326"/>
      <c r="E21" s="326"/>
      <c r="F21" s="327">
        <v>40301</v>
      </c>
      <c r="G21" s="334">
        <f>+'EXHIBIT C'!F19+'EXHIBIT C(2)'!E22</f>
        <v>706801</v>
      </c>
      <c r="H21" s="1059"/>
    </row>
    <row r="22" spans="1:8" ht="19.899999999999999" customHeight="1">
      <c r="A22" s="970" t="s">
        <v>376</v>
      </c>
      <c r="B22" s="323"/>
      <c r="C22" s="316" t="s">
        <v>338</v>
      </c>
      <c r="D22" s="323"/>
      <c r="E22" s="323"/>
      <c r="F22" s="329" t="s">
        <v>34</v>
      </c>
      <c r="G22" s="334">
        <f>+'EXHIBIT C'!F20+'EXHIBIT C(2)'!E23</f>
        <v>2165317</v>
      </c>
      <c r="H22" s="316"/>
    </row>
    <row r="23" spans="1:8" ht="19.899999999999999" customHeight="1">
      <c r="A23" s="970" t="s">
        <v>376</v>
      </c>
      <c r="B23" s="323"/>
      <c r="C23" s="323" t="s">
        <v>27</v>
      </c>
      <c r="D23" s="323"/>
      <c r="E23" s="323"/>
      <c r="F23" s="329" t="s">
        <v>35</v>
      </c>
      <c r="G23" s="339">
        <f>+'EXHIBIT C'!F21+'EXHIBIT C(2)'!E24</f>
        <v>680528</v>
      </c>
      <c r="H23" s="316"/>
    </row>
    <row r="24" spans="1:8" ht="19.899999999999999" customHeight="1">
      <c r="A24" s="970" t="s">
        <v>376</v>
      </c>
      <c r="B24" s="323"/>
      <c r="C24" s="330" t="s">
        <v>485</v>
      </c>
      <c r="D24" s="323"/>
      <c r="E24" s="323"/>
      <c r="F24" s="329" t="s">
        <v>36</v>
      </c>
      <c r="G24" s="339">
        <f>+'EXHIBIT C'!F22+'EXHIBIT C(2)'!E25</f>
        <v>117513</v>
      </c>
      <c r="H24" s="316"/>
    </row>
    <row r="25" spans="1:8" ht="19.899999999999999" customHeight="1">
      <c r="A25" s="970" t="s">
        <v>376</v>
      </c>
      <c r="B25" s="323"/>
      <c r="C25" s="330" t="s">
        <v>484</v>
      </c>
      <c r="D25" s="323"/>
      <c r="E25" s="323"/>
      <c r="F25" s="329" t="s">
        <v>37</v>
      </c>
      <c r="G25" s="339">
        <f>+'EXHIBIT C'!F23+'EXHIBIT C(2)'!E26</f>
        <v>410270</v>
      </c>
      <c r="H25" s="316"/>
    </row>
    <row r="26" spans="1:8" ht="19.899999999999999" customHeight="1">
      <c r="A26" s="970" t="s">
        <v>376</v>
      </c>
      <c r="B26" s="323"/>
      <c r="C26" s="316" t="s">
        <v>246</v>
      </c>
      <c r="D26" s="323"/>
      <c r="E26" s="323"/>
      <c r="F26" s="332">
        <v>40360</v>
      </c>
      <c r="G26" s="339">
        <f>+'EXHIBIT C'!F24+'EXHIBIT C(2)'!E27</f>
        <v>0</v>
      </c>
      <c r="H26" s="316"/>
    </row>
    <row r="27" spans="1:8" ht="19.899999999999999" customHeight="1">
      <c r="A27" s="969"/>
      <c r="B27" s="323"/>
      <c r="C27" s="323"/>
      <c r="D27" s="323"/>
      <c r="E27" s="323"/>
      <c r="F27" s="329"/>
      <c r="G27" s="335"/>
      <c r="H27" s="316"/>
    </row>
    <row r="28" spans="1:8" ht="19.899999999999999" customHeight="1">
      <c r="A28" s="971" t="s">
        <v>536</v>
      </c>
      <c r="B28" s="323"/>
      <c r="C28" s="323"/>
      <c r="D28" s="323"/>
      <c r="E28" s="323"/>
      <c r="F28" s="329"/>
      <c r="G28" s="973">
        <f>SUM(G21:G26)</f>
        <v>4080429</v>
      </c>
      <c r="H28" s="316"/>
    </row>
    <row r="29" spans="1:8" ht="19.899999999999999" customHeight="1">
      <c r="A29" s="969"/>
      <c r="B29" s="323"/>
      <c r="C29" s="323"/>
      <c r="D29" s="323"/>
      <c r="E29" s="323"/>
      <c r="F29" s="329"/>
      <c r="G29" s="336"/>
      <c r="H29" s="316"/>
    </row>
    <row r="30" spans="1:8" ht="19.899999999999999" customHeight="1">
      <c r="A30" s="969" t="s">
        <v>520</v>
      </c>
      <c r="B30" s="323"/>
      <c r="C30" s="1144" t="s">
        <v>31</v>
      </c>
      <c r="D30" s="1144"/>
      <c r="E30" s="1144"/>
      <c r="F30" s="329" t="s">
        <v>32</v>
      </c>
      <c r="G30" s="337">
        <f>'EXHIBIT C'!H32</f>
        <v>0</v>
      </c>
      <c r="H30" s="316"/>
    </row>
    <row r="31" spans="1:8" ht="19.899999999999999" customHeight="1">
      <c r="A31" s="969" t="s">
        <v>520</v>
      </c>
      <c r="B31" s="323"/>
      <c r="C31" s="316" t="s">
        <v>454</v>
      </c>
      <c r="D31" s="323"/>
      <c r="E31" s="323"/>
      <c r="F31" s="329" t="s">
        <v>33</v>
      </c>
      <c r="G31" s="337">
        <f>'EXHIBIT C'!H33</f>
        <v>0</v>
      </c>
      <c r="H31" s="316"/>
    </row>
    <row r="32" spans="1:8" ht="19.899999999999999" customHeight="1">
      <c r="A32" s="969" t="s">
        <v>521</v>
      </c>
      <c r="B32" s="323"/>
      <c r="C32" s="323" t="s">
        <v>31</v>
      </c>
      <c r="D32" s="323"/>
      <c r="E32" s="323"/>
      <c r="F32" s="329" t="s">
        <v>32</v>
      </c>
      <c r="G32" s="337">
        <f>'EXHIBIT C'!H34</f>
        <v>0</v>
      </c>
      <c r="H32" s="316"/>
    </row>
    <row r="33" spans="1:8" ht="19.899999999999999" customHeight="1">
      <c r="A33" s="969" t="s">
        <v>521</v>
      </c>
      <c r="B33" s="323"/>
      <c r="C33" s="316" t="s">
        <v>454</v>
      </c>
      <c r="D33" s="323"/>
      <c r="E33" s="323"/>
      <c r="F33" s="329" t="s">
        <v>33</v>
      </c>
      <c r="G33" s="337">
        <f>'EXHIBIT C'!H35</f>
        <v>0</v>
      </c>
      <c r="H33" s="316"/>
    </row>
    <row r="34" spans="1:8" ht="19.899999999999999" customHeight="1">
      <c r="A34" s="969"/>
      <c r="B34" s="323"/>
      <c r="C34" s="323"/>
      <c r="D34" s="323"/>
      <c r="E34" s="323"/>
      <c r="F34" s="329"/>
      <c r="G34" s="338"/>
      <c r="H34" s="316"/>
    </row>
    <row r="35" spans="1:8" ht="19.899999999999999" customHeight="1">
      <c r="A35" s="971" t="s">
        <v>522</v>
      </c>
      <c r="B35" s="323"/>
      <c r="C35" s="323"/>
      <c r="D35" s="323"/>
      <c r="E35" s="323"/>
      <c r="F35" s="329"/>
      <c r="G35" s="973">
        <f>SUM(G30:G33)</f>
        <v>0</v>
      </c>
      <c r="H35" s="316"/>
    </row>
    <row r="36" spans="1:8" ht="19.899999999999999" customHeight="1">
      <c r="A36" s="969"/>
      <c r="B36" s="323"/>
      <c r="C36" s="323"/>
      <c r="D36" s="323"/>
      <c r="E36" s="323"/>
      <c r="F36" s="329"/>
      <c r="G36" s="335"/>
      <c r="H36" s="316"/>
    </row>
    <row r="37" spans="1:8" ht="19.899999999999999" customHeight="1">
      <c r="A37" s="969" t="s">
        <v>533</v>
      </c>
      <c r="B37" s="323"/>
      <c r="C37" s="323" t="s">
        <v>31</v>
      </c>
      <c r="D37" s="323"/>
      <c r="E37" s="323"/>
      <c r="F37" s="329" t="s">
        <v>38</v>
      </c>
      <c r="G37" s="339">
        <f>'EXHIBIT C'!F39</f>
        <v>0</v>
      </c>
      <c r="H37" s="316"/>
    </row>
    <row r="38" spans="1:8" ht="19.899999999999999" customHeight="1">
      <c r="A38" s="969" t="s">
        <v>533</v>
      </c>
      <c r="B38" s="323"/>
      <c r="C38" s="1145" t="s">
        <v>454</v>
      </c>
      <c r="D38" s="1145"/>
      <c r="E38" s="1145"/>
      <c r="F38" s="329" t="s">
        <v>39</v>
      </c>
      <c r="G38" s="339">
        <f>'EXHIBIT C'!F40</f>
        <v>0</v>
      </c>
      <c r="H38" s="316"/>
    </row>
    <row r="39" spans="1:8" ht="19.899999999999999" customHeight="1">
      <c r="A39" s="969" t="s">
        <v>534</v>
      </c>
      <c r="B39" s="323"/>
      <c r="C39" s="323" t="s">
        <v>31</v>
      </c>
      <c r="D39" s="323"/>
      <c r="E39" s="323"/>
      <c r="F39" s="329" t="s">
        <v>38</v>
      </c>
      <c r="G39" s="339">
        <f>'EXHIBIT C'!F41</f>
        <v>0</v>
      </c>
      <c r="H39" s="316"/>
    </row>
    <row r="40" spans="1:8" ht="19.899999999999999" customHeight="1">
      <c r="A40" s="969" t="s">
        <v>534</v>
      </c>
      <c r="B40" s="323"/>
      <c r="C40" s="1145" t="s">
        <v>454</v>
      </c>
      <c r="D40" s="1145"/>
      <c r="E40" s="1145"/>
      <c r="F40" s="329" t="s">
        <v>39</v>
      </c>
      <c r="G40" s="339">
        <f>'EXHIBIT C'!F42</f>
        <v>0</v>
      </c>
      <c r="H40" s="316"/>
    </row>
    <row r="41" spans="1:8" ht="19.899999999999999" customHeight="1">
      <c r="A41" s="969"/>
      <c r="B41" s="323"/>
      <c r="C41" s="323"/>
      <c r="D41" s="323"/>
      <c r="E41" s="323"/>
      <c r="F41" s="329"/>
      <c r="G41" s="335"/>
      <c r="H41" s="316"/>
    </row>
    <row r="42" spans="1:8" ht="19.899999999999999" customHeight="1">
      <c r="A42" s="971" t="s">
        <v>535</v>
      </c>
      <c r="B42" s="323"/>
      <c r="C42" s="323"/>
      <c r="D42" s="323"/>
      <c r="E42" s="323"/>
      <c r="F42" s="329"/>
      <c r="G42" s="973">
        <f>SUM(G37:G41)</f>
        <v>0</v>
      </c>
      <c r="H42" s="316"/>
    </row>
    <row r="43" spans="1:8" ht="19.899999999999999" customHeight="1">
      <c r="A43" s="969"/>
      <c r="B43" s="323"/>
      <c r="C43" s="323"/>
      <c r="D43" s="323"/>
      <c r="E43" s="323"/>
      <c r="F43" s="329"/>
      <c r="G43" s="336"/>
      <c r="H43" s="316"/>
    </row>
    <row r="44" spans="1:8" ht="19.899999999999999" customHeight="1">
      <c r="A44" s="971" t="s">
        <v>598</v>
      </c>
      <c r="B44" s="323"/>
      <c r="C44" s="323"/>
      <c r="D44" s="323"/>
      <c r="E44" s="323"/>
      <c r="F44" s="329"/>
      <c r="G44" s="340">
        <f>G19+G28+G35+G42</f>
        <v>48559981</v>
      </c>
      <c r="H44" s="316"/>
    </row>
    <row r="45" spans="1:8" ht="19.899999999999999" customHeight="1">
      <c r="A45" s="969"/>
      <c r="B45" s="323"/>
      <c r="C45" s="323"/>
      <c r="D45" s="323"/>
      <c r="E45" s="323"/>
      <c r="F45" s="329"/>
      <c r="G45" s="335"/>
      <c r="H45" s="316"/>
    </row>
    <row r="46" spans="1:8" ht="19.899999999999999" customHeight="1">
      <c r="A46" s="969" t="s">
        <v>48</v>
      </c>
      <c r="B46" s="323"/>
      <c r="C46" s="323"/>
      <c r="D46" s="323"/>
      <c r="E46" s="323"/>
      <c r="F46" s="329" t="s">
        <v>49</v>
      </c>
      <c r="G46" s="849">
        <v>36455</v>
      </c>
      <c r="H46" s="316"/>
    </row>
    <row r="47" spans="1:8" ht="19.899999999999999" customHeight="1">
      <c r="A47" s="969" t="s">
        <v>429</v>
      </c>
      <c r="B47" s="341"/>
      <c r="C47" s="341"/>
      <c r="D47" s="341"/>
      <c r="E47" s="341"/>
      <c r="F47" s="342" t="s">
        <v>435</v>
      </c>
      <c r="G47" s="849">
        <f>2036236.15-73000</f>
        <v>1963236.15</v>
      </c>
      <c r="H47" s="1059"/>
    </row>
    <row r="48" spans="1:8" ht="19.899999999999999" customHeight="1">
      <c r="A48" s="969" t="s">
        <v>486</v>
      </c>
      <c r="B48" s="316"/>
      <c r="C48" s="341"/>
      <c r="D48" s="341"/>
      <c r="E48" s="341"/>
      <c r="F48" s="342" t="s">
        <v>457</v>
      </c>
      <c r="G48" s="849">
        <v>0</v>
      </c>
      <c r="H48" s="1059"/>
    </row>
    <row r="49" spans="1:8" ht="19.899999999999999" customHeight="1">
      <c r="A49" s="969" t="s">
        <v>50</v>
      </c>
      <c r="B49" s="323"/>
      <c r="C49" s="323"/>
      <c r="D49" s="323"/>
      <c r="E49" s="323"/>
      <c r="F49" s="343" t="s">
        <v>51</v>
      </c>
      <c r="G49" s="849">
        <v>1350</v>
      </c>
      <c r="H49" s="316"/>
    </row>
    <row r="50" spans="1:8" ht="19.899999999999999" customHeight="1">
      <c r="A50" s="969" t="s">
        <v>487</v>
      </c>
      <c r="B50" s="323"/>
      <c r="C50" s="323"/>
      <c r="D50" s="323"/>
      <c r="E50" s="323"/>
      <c r="F50" s="343" t="s">
        <v>52</v>
      </c>
      <c r="G50" s="849">
        <f>1993697.55+1351308+256524+120459.84</f>
        <v>3721989.3899999997</v>
      </c>
      <c r="H50" s="316"/>
    </row>
    <row r="51" spans="1:8" ht="19.899999999999999" customHeight="1">
      <c r="A51" s="969" t="s">
        <v>488</v>
      </c>
      <c r="B51" s="323"/>
      <c r="C51" s="323"/>
      <c r="D51" s="323"/>
      <c r="E51" s="323"/>
      <c r="F51" s="327">
        <v>40450</v>
      </c>
      <c r="G51" s="849">
        <v>3995700</v>
      </c>
      <c r="H51" s="316"/>
    </row>
    <row r="52" spans="1:8" ht="19.899999999999999" customHeight="1">
      <c r="A52" s="969" t="s">
        <v>53</v>
      </c>
      <c r="B52" s="323"/>
      <c r="C52" s="323"/>
      <c r="D52" s="323"/>
      <c r="E52" s="323"/>
      <c r="F52" s="343" t="s">
        <v>54</v>
      </c>
      <c r="G52" s="849">
        <f>550000+30000+45000</f>
        <v>625000</v>
      </c>
      <c r="H52" s="316"/>
    </row>
    <row r="53" spans="1:8" ht="19.899999999999999" customHeight="1">
      <c r="A53" s="970" t="s">
        <v>432</v>
      </c>
      <c r="B53" s="326"/>
      <c r="C53" s="326"/>
      <c r="D53" s="326"/>
      <c r="E53" s="326"/>
      <c r="F53" s="342" t="s">
        <v>431</v>
      </c>
      <c r="G53" s="849">
        <v>0</v>
      </c>
      <c r="H53" s="316"/>
    </row>
    <row r="54" spans="1:8" ht="19.899999999999999" customHeight="1">
      <c r="A54" s="970" t="s">
        <v>55</v>
      </c>
      <c r="B54" s="326"/>
      <c r="C54" s="326"/>
      <c r="D54" s="326"/>
      <c r="E54" s="326"/>
      <c r="F54" s="343" t="s">
        <v>56</v>
      </c>
      <c r="G54" s="849">
        <v>0</v>
      </c>
      <c r="H54" s="316"/>
    </row>
    <row r="55" spans="1:8" ht="19.899999999999999" customHeight="1">
      <c r="A55" s="970" t="s">
        <v>433</v>
      </c>
      <c r="B55" s="326"/>
      <c r="C55" s="326"/>
      <c r="D55" s="326"/>
      <c r="E55" s="326"/>
      <c r="F55" s="342" t="s">
        <v>434</v>
      </c>
      <c r="G55" s="849">
        <v>0</v>
      </c>
      <c r="H55" s="316"/>
    </row>
    <row r="56" spans="1:8" ht="19.899999999999999" customHeight="1">
      <c r="A56" s="970" t="s">
        <v>57</v>
      </c>
      <c r="B56" s="326"/>
      <c r="C56" s="326"/>
      <c r="D56" s="326"/>
      <c r="E56" s="326"/>
      <c r="F56" s="343" t="s">
        <v>58</v>
      </c>
      <c r="G56" s="849">
        <v>85000</v>
      </c>
      <c r="H56" s="316"/>
    </row>
    <row r="57" spans="1:8" ht="19.899999999999999" customHeight="1">
      <c r="A57" s="970" t="s">
        <v>59</v>
      </c>
      <c r="B57" s="326"/>
      <c r="C57" s="326"/>
      <c r="D57" s="326"/>
      <c r="E57" s="326"/>
      <c r="F57" s="343" t="s">
        <v>60</v>
      </c>
      <c r="G57" s="849">
        <v>0</v>
      </c>
      <c r="H57" s="316"/>
    </row>
    <row r="58" spans="1:8" ht="19.899999999999999" customHeight="1">
      <c r="A58" s="970" t="s">
        <v>61</v>
      </c>
      <c r="B58" s="326"/>
      <c r="C58" s="326"/>
      <c r="D58" s="326"/>
      <c r="E58" s="326"/>
      <c r="F58" s="344" t="s">
        <v>62</v>
      </c>
      <c r="G58" s="849">
        <v>2476437</v>
      </c>
      <c r="H58" s="316"/>
    </row>
    <row r="59" spans="1:8" ht="19.899999999999999" customHeight="1">
      <c r="A59" s="970" t="s">
        <v>63</v>
      </c>
      <c r="B59" s="326"/>
      <c r="C59" s="326"/>
      <c r="D59" s="326"/>
      <c r="E59" s="326"/>
      <c r="F59" s="343" t="s">
        <v>64</v>
      </c>
      <c r="G59" s="849">
        <f>25000+50000+7000+35000-0.2</f>
        <v>116999.8</v>
      </c>
      <c r="H59" s="316"/>
    </row>
    <row r="60" spans="1:8" ht="19.899999999999999" customHeight="1">
      <c r="A60" s="970" t="s">
        <v>489</v>
      </c>
      <c r="B60" s="326"/>
      <c r="C60" s="326"/>
      <c r="D60" s="326"/>
      <c r="E60" s="326"/>
      <c r="F60" s="342" t="s">
        <v>460</v>
      </c>
      <c r="G60" s="849">
        <v>0</v>
      </c>
      <c r="H60" s="316"/>
    </row>
    <row r="61" spans="1:8" ht="19.899999999999999" customHeight="1">
      <c r="A61" s="970" t="s">
        <v>437</v>
      </c>
      <c r="B61" s="326"/>
      <c r="C61" s="326"/>
      <c r="D61" s="326"/>
      <c r="E61" s="326"/>
      <c r="F61" s="342" t="s">
        <v>430</v>
      </c>
      <c r="G61" s="849">
        <v>0</v>
      </c>
      <c r="H61" s="316"/>
    </row>
    <row r="62" spans="1:8" ht="19.899999999999999" customHeight="1">
      <c r="A62" s="969"/>
      <c r="B62" s="323"/>
      <c r="C62" s="323"/>
      <c r="D62" s="323"/>
      <c r="E62" s="323"/>
      <c r="F62" s="329"/>
      <c r="G62" s="974"/>
      <c r="H62" s="316"/>
    </row>
    <row r="63" spans="1:8" ht="19.899999999999999" customHeight="1">
      <c r="A63" s="971" t="s">
        <v>236</v>
      </c>
      <c r="B63" s="323"/>
      <c r="C63" s="323"/>
      <c r="D63" s="323"/>
      <c r="E63" s="323"/>
      <c r="F63" s="329"/>
      <c r="G63" s="975">
        <f>SUM(G44:G61)</f>
        <v>61582148.339999996</v>
      </c>
      <c r="H63" s="316"/>
    </row>
    <row r="64" spans="1:8" ht="19.899999999999999" customHeight="1">
      <c r="A64" s="969"/>
      <c r="B64" s="323"/>
      <c r="C64" s="323"/>
      <c r="D64" s="323"/>
      <c r="E64" s="323"/>
      <c r="F64" s="329"/>
      <c r="G64" s="335"/>
      <c r="H64" s="316"/>
    </row>
    <row r="65" spans="1:8" ht="19.899999999999999" customHeight="1">
      <c r="A65" s="1146" t="s">
        <v>65</v>
      </c>
      <c r="B65" s="1147"/>
      <c r="C65" s="1147"/>
      <c r="D65" s="1147"/>
      <c r="E65" s="1147"/>
      <c r="F65" s="1148"/>
      <c r="G65" s="976"/>
      <c r="H65" s="316"/>
    </row>
    <row r="66" spans="1:8" ht="19.899999999999999" customHeight="1">
      <c r="A66" s="969"/>
      <c r="B66" s="323"/>
      <c r="C66" s="323"/>
      <c r="D66" s="323"/>
      <c r="E66" s="323"/>
      <c r="F66" s="329"/>
      <c r="G66" s="335"/>
      <c r="H66" s="316"/>
    </row>
    <row r="67" spans="1:8" ht="19.899999999999999" customHeight="1">
      <c r="A67" s="969" t="s">
        <v>490</v>
      </c>
      <c r="B67" s="323"/>
      <c r="C67" s="323"/>
      <c r="D67" s="323"/>
      <c r="E67" s="323"/>
      <c r="F67" s="329" t="s">
        <v>66</v>
      </c>
      <c r="G67" s="849">
        <v>0</v>
      </c>
      <c r="H67" s="316"/>
    </row>
    <row r="68" spans="1:8" ht="19.899999999999999" customHeight="1">
      <c r="A68" s="969" t="s">
        <v>491</v>
      </c>
      <c r="B68" s="323"/>
      <c r="C68" s="323"/>
      <c r="D68" s="323"/>
      <c r="E68" s="323"/>
      <c r="F68" s="329" t="s">
        <v>67</v>
      </c>
      <c r="G68" s="849">
        <v>1884889</v>
      </c>
      <c r="H68" s="316"/>
    </row>
    <row r="69" spans="1:8" ht="19.899999999999999" customHeight="1">
      <c r="A69" s="969" t="s">
        <v>278</v>
      </c>
      <c r="B69" s="323"/>
      <c r="C69" s="323"/>
      <c r="D69" s="323"/>
      <c r="E69" s="323"/>
      <c r="F69" s="329" t="s">
        <v>68</v>
      </c>
      <c r="G69" s="849">
        <f>4000-0.2</f>
        <v>3999.8</v>
      </c>
      <c r="H69" s="316"/>
    </row>
    <row r="70" spans="1:8" ht="19.899999999999999" customHeight="1">
      <c r="A70" s="969"/>
      <c r="B70" s="323"/>
      <c r="C70" s="323"/>
      <c r="D70" s="323"/>
      <c r="E70" s="323"/>
      <c r="F70" s="329"/>
      <c r="G70" s="977"/>
      <c r="H70" s="316"/>
    </row>
    <row r="71" spans="1:8" ht="19.899999999999999" customHeight="1">
      <c r="A71" s="971" t="s">
        <v>237</v>
      </c>
      <c r="B71" s="323"/>
      <c r="C71" s="323"/>
      <c r="D71" s="323"/>
      <c r="E71" s="323"/>
      <c r="F71" s="329"/>
      <c r="G71" s="374">
        <f>SUM(G67:G69)</f>
        <v>1888888.8</v>
      </c>
      <c r="H71" s="316"/>
    </row>
    <row r="72" spans="1:8" ht="19.899999999999999" customHeight="1">
      <c r="A72" s="978"/>
      <c r="B72" s="979"/>
      <c r="C72" s="979"/>
      <c r="D72" s="979"/>
      <c r="E72" s="979"/>
      <c r="F72" s="980"/>
      <c r="G72" s="981"/>
      <c r="H72" s="316"/>
    </row>
    <row r="73" spans="1:8" ht="19.899999999999999" customHeight="1">
      <c r="A73" s="1146" t="s">
        <v>69</v>
      </c>
      <c r="B73" s="1147"/>
      <c r="C73" s="1147"/>
      <c r="D73" s="1147"/>
      <c r="E73" s="1147"/>
      <c r="F73" s="1148"/>
      <c r="G73" s="982"/>
      <c r="H73" s="316"/>
    </row>
    <row r="74" spans="1:8" ht="19.899999999999999" customHeight="1">
      <c r="A74" s="969"/>
      <c r="B74" s="323"/>
      <c r="C74" s="323"/>
      <c r="D74" s="323"/>
      <c r="E74" s="323"/>
      <c r="F74" s="329"/>
      <c r="G74" s="345"/>
      <c r="H74" s="316"/>
    </row>
    <row r="75" spans="1:8" ht="19.899999999999999" customHeight="1">
      <c r="A75" s="969" t="s">
        <v>492</v>
      </c>
      <c r="B75" s="323"/>
      <c r="C75" s="323"/>
      <c r="D75" s="323"/>
      <c r="E75" s="323"/>
      <c r="F75" s="329" t="s">
        <v>0</v>
      </c>
      <c r="G75" s="1047">
        <f>'CHECK SHEET'!D102</f>
        <v>60811965</v>
      </c>
      <c r="H75" s="316"/>
    </row>
    <row r="76" spans="1:8" ht="19.899999999999999" customHeight="1">
      <c r="A76" s="969" t="s">
        <v>279</v>
      </c>
      <c r="B76" s="323"/>
      <c r="C76" s="323"/>
      <c r="D76" s="323"/>
      <c r="E76" s="323"/>
      <c r="F76" s="332">
        <v>42130</v>
      </c>
      <c r="G76" s="1048">
        <v>0</v>
      </c>
      <c r="H76" s="316"/>
    </row>
    <row r="77" spans="1:8" ht="19.899999999999999" customHeight="1">
      <c r="A77" s="983" t="s">
        <v>595</v>
      </c>
      <c r="B77" s="984"/>
      <c r="C77" s="984"/>
      <c r="D77" s="984"/>
      <c r="E77" s="984"/>
      <c r="F77" s="346" t="s">
        <v>1</v>
      </c>
      <c r="G77" s="1049">
        <v>1658238</v>
      </c>
      <c r="H77" s="316"/>
    </row>
    <row r="78" spans="1:8" ht="19.899999999999999" customHeight="1">
      <c r="A78" s="983" t="s">
        <v>280</v>
      </c>
      <c r="B78" s="984"/>
      <c r="C78" s="984"/>
      <c r="D78" s="984"/>
      <c r="E78" s="984"/>
      <c r="F78" s="346" t="s">
        <v>70</v>
      </c>
      <c r="G78" s="1048">
        <v>0</v>
      </c>
      <c r="H78" s="316"/>
    </row>
    <row r="79" spans="1:8" ht="19.899999999999999" customHeight="1">
      <c r="A79" s="969" t="s">
        <v>494</v>
      </c>
      <c r="B79" s="323"/>
      <c r="C79" s="323"/>
      <c r="D79" s="323"/>
      <c r="E79" s="323"/>
      <c r="F79" s="329" t="s">
        <v>71</v>
      </c>
      <c r="G79" s="1048">
        <v>0</v>
      </c>
      <c r="H79" s="316"/>
    </row>
    <row r="80" spans="1:8" ht="19.899999999999999" customHeight="1">
      <c r="A80" s="969" t="s">
        <v>596</v>
      </c>
      <c r="B80" s="323"/>
      <c r="C80" s="323"/>
      <c r="D80" s="323"/>
      <c r="E80" s="323"/>
      <c r="F80" s="329" t="s">
        <v>72</v>
      </c>
      <c r="G80" s="1048">
        <v>700000</v>
      </c>
      <c r="H80" s="316"/>
    </row>
    <row r="81" spans="1:10" ht="19.899999999999999" customHeight="1">
      <c r="A81" s="969" t="s">
        <v>601</v>
      </c>
      <c r="B81" s="323"/>
      <c r="C81" s="323"/>
      <c r="D81" s="323"/>
      <c r="E81" s="323"/>
      <c r="F81" s="329" t="s">
        <v>73</v>
      </c>
      <c r="G81" s="1047">
        <f>'CHECK SHEET'!D104</f>
        <v>9443975</v>
      </c>
      <c r="H81" s="316"/>
    </row>
    <row r="82" spans="1:10" ht="19.899999999999999" customHeight="1">
      <c r="A82" s="985" t="s">
        <v>493</v>
      </c>
      <c r="B82" s="986"/>
      <c r="C82" s="986"/>
      <c r="D82" s="986"/>
      <c r="E82" s="986"/>
      <c r="F82" s="345" t="s">
        <v>74</v>
      </c>
      <c r="G82" s="1048">
        <v>0</v>
      </c>
      <c r="H82" s="316"/>
    </row>
    <row r="83" spans="1:10" ht="19.899999999999999" customHeight="1">
      <c r="A83" s="969" t="s">
        <v>281</v>
      </c>
      <c r="B83" s="323"/>
      <c r="C83" s="323"/>
      <c r="D83" s="323"/>
      <c r="E83" s="323"/>
      <c r="F83" s="329" t="s">
        <v>75</v>
      </c>
      <c r="G83" s="1048">
        <f>45000-0.2</f>
        <v>44999.8</v>
      </c>
      <c r="H83" s="316"/>
    </row>
    <row r="84" spans="1:10" ht="19.899999999999999" customHeight="1">
      <c r="A84" s="969"/>
      <c r="B84" s="323"/>
      <c r="C84" s="323"/>
      <c r="D84" s="323"/>
      <c r="E84" s="323"/>
      <c r="F84" s="329"/>
      <c r="G84" s="987"/>
      <c r="H84" s="316"/>
    </row>
    <row r="85" spans="1:10" ht="19.899999999999999" customHeight="1">
      <c r="A85" s="971" t="s">
        <v>238</v>
      </c>
      <c r="B85" s="323"/>
      <c r="C85" s="323"/>
      <c r="D85" s="323"/>
      <c r="E85" s="323"/>
      <c r="F85" s="329"/>
      <c r="G85" s="375">
        <f>SUM(G75:G83)</f>
        <v>72659177.799999997</v>
      </c>
      <c r="H85" s="316"/>
    </row>
    <row r="86" spans="1:10" ht="19.899999999999999" customHeight="1">
      <c r="A86" s="978"/>
      <c r="B86" s="979"/>
      <c r="C86" s="979"/>
      <c r="D86" s="979"/>
      <c r="E86" s="979"/>
      <c r="F86" s="980"/>
      <c r="G86" s="981"/>
      <c r="H86" s="316"/>
    </row>
    <row r="87" spans="1:10" ht="19.899999999999999" customHeight="1">
      <c r="A87" s="1149" t="s">
        <v>76</v>
      </c>
      <c r="B87" s="1150"/>
      <c r="C87" s="1150"/>
      <c r="D87" s="1150"/>
      <c r="E87" s="1150"/>
      <c r="F87" s="1151"/>
      <c r="G87" s="982"/>
      <c r="H87" s="316"/>
    </row>
    <row r="88" spans="1:10" ht="19.899999999999999" customHeight="1">
      <c r="A88" s="969"/>
      <c r="B88" s="323"/>
      <c r="C88" s="323"/>
      <c r="D88" s="323"/>
      <c r="E88" s="323"/>
      <c r="F88" s="329"/>
      <c r="G88" s="345"/>
      <c r="H88" s="316"/>
    </row>
    <row r="89" spans="1:10" ht="19.899999999999999" customHeight="1">
      <c r="A89" s="969" t="s">
        <v>282</v>
      </c>
      <c r="B89" s="323"/>
      <c r="C89" s="323"/>
      <c r="D89" s="323"/>
      <c r="E89" s="323"/>
      <c r="F89" s="329" t="s">
        <v>77</v>
      </c>
      <c r="G89" s="940">
        <v>70000</v>
      </c>
      <c r="H89" s="316"/>
    </row>
    <row r="90" spans="1:10" ht="19.899999999999999" customHeight="1">
      <c r="A90" s="970" t="s">
        <v>283</v>
      </c>
      <c r="B90" s="326"/>
      <c r="C90" s="326"/>
      <c r="D90" s="326"/>
      <c r="E90" s="326"/>
      <c r="F90" s="327">
        <v>43518</v>
      </c>
      <c r="G90" s="1050">
        <v>0</v>
      </c>
      <c r="H90" s="316"/>
      <c r="J90" s="347"/>
    </row>
    <row r="91" spans="1:10" ht="19.899999999999999" customHeight="1">
      <c r="A91" s="970" t="s">
        <v>284</v>
      </c>
      <c r="B91" s="326"/>
      <c r="C91" s="326"/>
      <c r="D91" s="326"/>
      <c r="E91" s="326"/>
      <c r="F91" s="327">
        <v>43519</v>
      </c>
      <c r="G91" s="1050">
        <v>0</v>
      </c>
      <c r="H91" s="316"/>
    </row>
    <row r="92" spans="1:10" ht="19.899999999999999" customHeight="1">
      <c r="A92" s="969" t="s">
        <v>285</v>
      </c>
      <c r="B92" s="323"/>
      <c r="C92" s="323"/>
      <c r="D92" s="323"/>
      <c r="E92" s="323"/>
      <c r="F92" s="329" t="s">
        <v>78</v>
      </c>
      <c r="G92" s="849">
        <f>220000-0.2</f>
        <v>219999.8</v>
      </c>
      <c r="H92" s="316"/>
    </row>
    <row r="93" spans="1:10" ht="19.899999999999999" customHeight="1">
      <c r="A93" s="988"/>
      <c r="B93" s="989"/>
      <c r="C93" s="989"/>
      <c r="D93" s="989"/>
      <c r="E93" s="989"/>
      <c r="F93" s="990"/>
      <c r="G93" s="991"/>
      <c r="H93" s="316"/>
    </row>
    <row r="94" spans="1:10" ht="19.899999999999999" customHeight="1">
      <c r="A94" s="971" t="s">
        <v>239</v>
      </c>
      <c r="B94" s="323"/>
      <c r="C94" s="323"/>
      <c r="D94" s="323"/>
      <c r="E94" s="323"/>
      <c r="F94" s="348"/>
      <c r="G94" s="992">
        <f>SUM(G89:G92)</f>
        <v>289999.8</v>
      </c>
      <c r="H94" s="316"/>
    </row>
    <row r="95" spans="1:10" ht="19.899999999999999" customHeight="1">
      <c r="A95" s="969"/>
      <c r="B95" s="323"/>
      <c r="C95" s="323"/>
      <c r="D95" s="323"/>
      <c r="E95" s="323"/>
      <c r="F95" s="329"/>
      <c r="G95" s="349"/>
      <c r="H95" s="316"/>
    </row>
    <row r="96" spans="1:10" ht="19.899999999999999" customHeight="1">
      <c r="A96" s="1152" t="s">
        <v>79</v>
      </c>
      <c r="B96" s="1153"/>
      <c r="C96" s="1153"/>
      <c r="D96" s="1153"/>
      <c r="E96" s="1153"/>
      <c r="F96" s="1154"/>
      <c r="G96" s="1044"/>
      <c r="H96" s="316"/>
    </row>
    <row r="97" spans="1:8" ht="19.899999999999999" customHeight="1">
      <c r="A97" s="969"/>
      <c r="B97" s="323"/>
      <c r="C97" s="323"/>
      <c r="D97" s="323"/>
      <c r="E97" s="323"/>
      <c r="F97" s="329"/>
      <c r="G97" s="349"/>
      <c r="H97" s="316"/>
    </row>
    <row r="98" spans="1:8" ht="19.899999999999999" customHeight="1">
      <c r="A98" s="969" t="s">
        <v>286</v>
      </c>
      <c r="B98" s="323"/>
      <c r="C98" s="323"/>
      <c r="D98" s="323"/>
      <c r="E98" s="323"/>
      <c r="F98" s="329" t="s">
        <v>80</v>
      </c>
      <c r="G98" s="852">
        <v>0</v>
      </c>
      <c r="H98" s="316"/>
    </row>
    <row r="99" spans="1:8" ht="19.899999999999999" customHeight="1">
      <c r="A99" s="969" t="s">
        <v>289</v>
      </c>
      <c r="B99" s="323"/>
      <c r="C99" s="323"/>
      <c r="D99" s="323"/>
      <c r="E99" s="323"/>
      <c r="F99" s="329" t="s">
        <v>81</v>
      </c>
      <c r="G99" s="850">
        <v>0</v>
      </c>
      <c r="H99" s="316"/>
    </row>
    <row r="100" spans="1:8" ht="19.899999999999999" customHeight="1">
      <c r="A100" s="970" t="s">
        <v>288</v>
      </c>
      <c r="B100" s="326"/>
      <c r="C100" s="326"/>
      <c r="D100" s="326"/>
      <c r="E100" s="326"/>
      <c r="F100" s="350">
        <v>44400</v>
      </c>
      <c r="G100" s="851">
        <v>-2000</v>
      </c>
      <c r="H100" s="316"/>
    </row>
    <row r="101" spans="1:8" ht="19.899999999999999" customHeight="1">
      <c r="A101" s="969" t="s">
        <v>287</v>
      </c>
      <c r="B101" s="323"/>
      <c r="C101" s="323"/>
      <c r="D101" s="323"/>
      <c r="E101" s="323"/>
      <c r="F101" s="329" t="s">
        <v>82</v>
      </c>
      <c r="G101" s="850">
        <v>0</v>
      </c>
      <c r="H101" s="316"/>
    </row>
    <row r="102" spans="1:8" ht="19.899999999999999" customHeight="1">
      <c r="A102" s="969"/>
      <c r="B102" s="323"/>
      <c r="C102" s="323"/>
      <c r="D102" s="323"/>
      <c r="E102" s="323"/>
      <c r="F102" s="329"/>
      <c r="G102" s="993"/>
      <c r="H102" s="316"/>
    </row>
    <row r="103" spans="1:8" ht="19.899999999999999" customHeight="1">
      <c r="A103" s="971" t="s">
        <v>240</v>
      </c>
      <c r="B103" s="323"/>
      <c r="C103" s="323"/>
      <c r="D103" s="323"/>
      <c r="E103" s="323"/>
      <c r="F103" s="329"/>
      <c r="G103" s="992">
        <f>SUM(G98:G101)</f>
        <v>-2000</v>
      </c>
      <c r="H103" s="316"/>
    </row>
    <row r="104" spans="1:8" ht="19.899999999999999" customHeight="1">
      <c r="A104" s="969"/>
      <c r="B104" s="323"/>
      <c r="C104" s="323"/>
      <c r="D104" s="323"/>
      <c r="E104" s="323"/>
      <c r="F104" s="329"/>
      <c r="G104" s="349"/>
      <c r="H104" s="316"/>
    </row>
    <row r="105" spans="1:8" ht="19.899999999999999" customHeight="1">
      <c r="A105" s="1155" t="s">
        <v>83</v>
      </c>
      <c r="B105" s="1156"/>
      <c r="C105" s="1156"/>
      <c r="D105" s="1156"/>
      <c r="E105" s="1156"/>
      <c r="F105" s="1157"/>
      <c r="G105" s="994"/>
      <c r="H105" s="316"/>
    </row>
    <row r="106" spans="1:8" ht="19.899999999999999" customHeight="1">
      <c r="A106" s="969"/>
      <c r="B106" s="323"/>
      <c r="C106" s="323"/>
      <c r="D106" s="323"/>
      <c r="E106" s="323"/>
      <c r="F106" s="329"/>
      <c r="G106" s="349"/>
      <c r="H106" s="316"/>
    </row>
    <row r="107" spans="1:8" ht="19.899999999999999" customHeight="1">
      <c r="A107" s="969" t="s">
        <v>290</v>
      </c>
      <c r="B107" s="323"/>
      <c r="C107" s="323"/>
      <c r="D107" s="323"/>
      <c r="E107" s="323"/>
      <c r="F107" s="329" t="s">
        <v>84</v>
      </c>
      <c r="G107" s="852">
        <v>0</v>
      </c>
      <c r="H107" s="316"/>
    </row>
    <row r="108" spans="1:8" ht="19.899999999999999" customHeight="1">
      <c r="A108" s="969" t="s">
        <v>291</v>
      </c>
      <c r="B108" s="323"/>
      <c r="C108" s="323"/>
      <c r="D108" s="323"/>
      <c r="E108" s="323"/>
      <c r="F108" s="329" t="s">
        <v>85</v>
      </c>
      <c r="G108" s="941">
        <f>54000+1411800</f>
        <v>1465800</v>
      </c>
      <c r="H108" s="316"/>
    </row>
    <row r="109" spans="1:8" ht="19.899999999999999" customHeight="1">
      <c r="A109" s="969" t="s">
        <v>292</v>
      </c>
      <c r="B109" s="323"/>
      <c r="C109" s="323"/>
      <c r="D109" s="323"/>
      <c r="E109" s="323"/>
      <c r="F109" s="329" t="s">
        <v>86</v>
      </c>
      <c r="G109" s="941">
        <f>573141.14+375000</f>
        <v>948141.14</v>
      </c>
      <c r="H109" s="316"/>
    </row>
    <row r="110" spans="1:8" ht="19.899999999999999" customHeight="1">
      <c r="A110" s="969" t="s">
        <v>293</v>
      </c>
      <c r="B110" s="323"/>
      <c r="C110" s="323"/>
      <c r="D110" s="323"/>
      <c r="E110" s="323"/>
      <c r="F110" s="329" t="s">
        <v>87</v>
      </c>
      <c r="G110" s="941">
        <f>68004.52+8955</f>
        <v>76959.520000000004</v>
      </c>
      <c r="H110" s="316"/>
    </row>
    <row r="111" spans="1:8" ht="19.899999999999999" customHeight="1">
      <c r="A111" s="969" t="s">
        <v>294</v>
      </c>
      <c r="B111" s="323"/>
      <c r="C111" s="323"/>
      <c r="D111" s="323"/>
      <c r="E111" s="323"/>
      <c r="F111" s="329" t="s">
        <v>88</v>
      </c>
      <c r="G111" s="941">
        <v>0</v>
      </c>
      <c r="H111" s="316"/>
    </row>
    <row r="112" spans="1:8" ht="19.899999999999999" customHeight="1">
      <c r="A112" s="969"/>
      <c r="B112" s="323"/>
      <c r="C112" s="323"/>
      <c r="D112" s="323"/>
      <c r="E112" s="323"/>
      <c r="F112" s="329"/>
      <c r="G112" s="995"/>
      <c r="H112" s="316"/>
    </row>
    <row r="113" spans="1:8" ht="19.899999999999999" customHeight="1">
      <c r="A113" s="996" t="s">
        <v>241</v>
      </c>
      <c r="B113" s="997"/>
      <c r="C113" s="997"/>
      <c r="D113" s="997"/>
      <c r="E113" s="997"/>
      <c r="F113" s="998"/>
      <c r="G113" s="992">
        <f>SUM(G107:G111)</f>
        <v>2490900.66</v>
      </c>
      <c r="H113" s="316"/>
    </row>
    <row r="114" spans="1:8" ht="19.899999999999999" customHeight="1">
      <c r="A114" s="969"/>
      <c r="B114" s="323"/>
      <c r="C114" s="323"/>
      <c r="D114" s="323"/>
      <c r="E114" s="323"/>
      <c r="F114" s="999"/>
      <c r="G114" s="1000"/>
      <c r="H114" s="316"/>
    </row>
    <row r="115" spans="1:8" ht="19.899999999999999" customHeight="1">
      <c r="A115" s="1001" t="s">
        <v>89</v>
      </c>
      <c r="B115" s="1002"/>
      <c r="C115" s="1002"/>
      <c r="D115" s="1002"/>
      <c r="E115" s="1002"/>
      <c r="F115" s="1003" t="s">
        <v>90</v>
      </c>
      <c r="G115" s="1004">
        <v>0</v>
      </c>
      <c r="H115" s="316"/>
    </row>
    <row r="116" spans="1:8" ht="19.899999999999999" customHeight="1">
      <c r="A116" s="1005"/>
      <c r="B116" s="316"/>
      <c r="C116" s="316"/>
      <c r="D116" s="316"/>
      <c r="E116" s="316"/>
      <c r="F116" s="351"/>
      <c r="G116" s="352"/>
      <c r="H116" s="316"/>
    </row>
    <row r="117" spans="1:8" ht="19.899999999999999" customHeight="1">
      <c r="A117" s="971" t="s">
        <v>242</v>
      </c>
      <c r="B117" s="316"/>
      <c r="C117" s="323"/>
      <c r="D117" s="323"/>
      <c r="E117" s="316"/>
      <c r="F117" s="351"/>
      <c r="G117" s="992">
        <f>G115</f>
        <v>0</v>
      </c>
      <c r="H117" s="316"/>
    </row>
    <row r="118" spans="1:8" ht="19.899999999999999" customHeight="1">
      <c r="A118" s="1005"/>
      <c r="B118" s="316"/>
      <c r="C118" s="316"/>
      <c r="D118" s="316"/>
      <c r="E118" s="316"/>
      <c r="F118" s="351"/>
      <c r="G118" s="349"/>
      <c r="H118" s="316"/>
    </row>
    <row r="119" spans="1:8" ht="19.899999999999999" customHeight="1">
      <c r="A119" s="1152" t="s">
        <v>91</v>
      </c>
      <c r="B119" s="1153"/>
      <c r="C119" s="1153"/>
      <c r="D119" s="1153"/>
      <c r="E119" s="1153"/>
      <c r="F119" s="1154"/>
      <c r="G119" s="1044"/>
      <c r="H119" s="316"/>
    </row>
    <row r="120" spans="1:8" ht="19.899999999999999" customHeight="1">
      <c r="A120" s="969"/>
      <c r="B120" s="323"/>
      <c r="C120" s="323"/>
      <c r="D120" s="323"/>
      <c r="E120" s="323"/>
      <c r="F120" s="329"/>
      <c r="G120" s="349"/>
      <c r="H120" s="316"/>
    </row>
    <row r="121" spans="1:8" ht="19.899999999999999" customHeight="1">
      <c r="A121" s="969" t="s">
        <v>295</v>
      </c>
      <c r="B121" s="323"/>
      <c r="C121" s="323"/>
      <c r="D121" s="323"/>
      <c r="E121" s="323"/>
      <c r="F121" s="329" t="s">
        <v>92</v>
      </c>
      <c r="G121" s="940">
        <f>94288.62-0.2</f>
        <v>94288.42</v>
      </c>
      <c r="H121" s="316"/>
    </row>
    <row r="122" spans="1:8" ht="19.899999999999999" customHeight="1">
      <c r="A122" s="969" t="s">
        <v>296</v>
      </c>
      <c r="B122" s="323"/>
      <c r="C122" s="323"/>
      <c r="D122" s="323"/>
      <c r="E122" s="323"/>
      <c r="F122" s="329" t="s">
        <v>93</v>
      </c>
      <c r="G122" s="941">
        <v>0</v>
      </c>
      <c r="H122" s="316"/>
    </row>
    <row r="123" spans="1:8" ht="19.899999999999999" customHeight="1">
      <c r="A123" s="969" t="s">
        <v>297</v>
      </c>
      <c r="B123" s="323"/>
      <c r="C123" s="323"/>
      <c r="D123" s="323"/>
      <c r="E123" s="323"/>
      <c r="F123" s="329" t="s">
        <v>94</v>
      </c>
      <c r="G123" s="941">
        <v>2000</v>
      </c>
      <c r="H123" s="316"/>
    </row>
    <row r="124" spans="1:8" ht="19.899999999999999" customHeight="1">
      <c r="A124" s="969" t="s">
        <v>298</v>
      </c>
      <c r="B124" s="323"/>
      <c r="C124" s="323"/>
      <c r="D124" s="323"/>
      <c r="E124" s="323"/>
      <c r="F124" s="329" t="s">
        <v>95</v>
      </c>
      <c r="G124" s="941">
        <f>215032+1000+142000</f>
        <v>358032</v>
      </c>
      <c r="H124" s="316"/>
    </row>
    <row r="125" spans="1:8" ht="19.899999999999999" customHeight="1">
      <c r="A125" s="969"/>
      <c r="B125" s="323"/>
      <c r="C125" s="323"/>
      <c r="D125" s="323"/>
      <c r="E125" s="323"/>
      <c r="F125" s="329"/>
      <c r="G125" s="995"/>
      <c r="H125" s="316"/>
    </row>
    <row r="126" spans="1:8" ht="19.899999999999999" customHeight="1">
      <c r="A126" s="971" t="s">
        <v>243</v>
      </c>
      <c r="B126" s="323"/>
      <c r="C126" s="323"/>
      <c r="D126" s="323"/>
      <c r="E126" s="323"/>
      <c r="F126" s="329"/>
      <c r="G126" s="992">
        <f>SUM(G121:G124)</f>
        <v>454320.42</v>
      </c>
      <c r="H126" s="316"/>
    </row>
    <row r="127" spans="1:8" ht="19.899999999999999" customHeight="1">
      <c r="A127" s="969"/>
      <c r="B127" s="323"/>
      <c r="C127" s="323"/>
      <c r="D127" s="323"/>
      <c r="E127" s="323"/>
      <c r="F127" s="329"/>
      <c r="G127" s="349"/>
      <c r="H127" s="316"/>
    </row>
    <row r="128" spans="1:8" ht="19.899999999999999" customHeight="1">
      <c r="A128" s="1134" t="s">
        <v>96</v>
      </c>
      <c r="B128" s="1135"/>
      <c r="C128" s="1135"/>
      <c r="D128" s="1135"/>
      <c r="E128" s="1135"/>
      <c r="F128" s="1136"/>
      <c r="G128" s="1006"/>
      <c r="H128" s="316"/>
    </row>
    <row r="129" spans="1:8" ht="19.899999999999999" customHeight="1">
      <c r="A129" s="969"/>
      <c r="B129" s="323"/>
      <c r="C129" s="323"/>
      <c r="D129" s="323"/>
      <c r="E129" s="323"/>
      <c r="F129" s="329"/>
      <c r="G129" s="349"/>
      <c r="H129" s="316"/>
    </row>
    <row r="130" spans="1:8" ht="19.899999999999999" customHeight="1">
      <c r="A130" s="969" t="s">
        <v>438</v>
      </c>
      <c r="B130" s="323"/>
      <c r="C130" s="323"/>
      <c r="D130" s="1007"/>
      <c r="E130" s="1008"/>
      <c r="F130" s="346" t="s">
        <v>97</v>
      </c>
      <c r="G130" s="852">
        <v>0</v>
      </c>
      <c r="H130" s="316"/>
    </row>
    <row r="131" spans="1:8" ht="19.899999999999999" customHeight="1">
      <c r="A131" s="969" t="s">
        <v>445</v>
      </c>
      <c r="B131" s="323"/>
      <c r="C131" s="323"/>
      <c r="D131" s="1007"/>
      <c r="E131" s="1008"/>
      <c r="F131" s="346" t="s">
        <v>98</v>
      </c>
      <c r="G131" s="850">
        <f>592587.02+1085320.98</f>
        <v>1677908</v>
      </c>
      <c r="H131" s="316"/>
    </row>
    <row r="132" spans="1:8" ht="19.899999999999999" customHeight="1">
      <c r="A132" s="970" t="s">
        <v>446</v>
      </c>
      <c r="B132" s="326"/>
      <c r="C132" s="326"/>
      <c r="D132" s="1009"/>
      <c r="E132" s="341"/>
      <c r="F132" s="353">
        <v>49230</v>
      </c>
      <c r="G132" s="942">
        <f>2489780.58+10219</f>
        <v>2499999.58</v>
      </c>
      <c r="H132" s="316"/>
    </row>
    <row r="133" spans="1:8" ht="19.899999999999999" customHeight="1">
      <c r="A133" s="970" t="s">
        <v>447</v>
      </c>
      <c r="B133" s="326"/>
      <c r="C133" s="326"/>
      <c r="D133" s="1009"/>
      <c r="E133" s="341"/>
      <c r="F133" s="353">
        <v>49240</v>
      </c>
      <c r="G133" s="850">
        <v>0</v>
      </c>
      <c r="H133" s="316"/>
    </row>
    <row r="134" spans="1:8" ht="19.899999999999999" customHeight="1">
      <c r="A134" s="969" t="s">
        <v>299</v>
      </c>
      <c r="B134" s="323"/>
      <c r="C134" s="323"/>
      <c r="D134" s="323"/>
      <c r="E134" s="323"/>
      <c r="F134" s="329" t="s">
        <v>99</v>
      </c>
      <c r="G134" s="850">
        <v>0</v>
      </c>
      <c r="H134" s="316"/>
    </row>
    <row r="135" spans="1:8" ht="19.899999999999999" customHeight="1">
      <c r="A135" s="969" t="s">
        <v>300</v>
      </c>
      <c r="B135" s="323"/>
      <c r="C135" s="323"/>
      <c r="D135" s="323"/>
      <c r="E135" s="323"/>
      <c r="F135" s="332">
        <v>49520</v>
      </c>
      <c r="G135" s="850">
        <v>0</v>
      </c>
      <c r="H135" s="316"/>
    </row>
    <row r="136" spans="1:8" ht="19.899999999999999" customHeight="1">
      <c r="A136" s="969" t="s">
        <v>301</v>
      </c>
      <c r="B136" s="323"/>
      <c r="C136" s="323"/>
      <c r="D136" s="323"/>
      <c r="E136" s="323"/>
      <c r="F136" s="329" t="s">
        <v>100</v>
      </c>
      <c r="G136" s="850">
        <v>0</v>
      </c>
      <c r="H136" s="316"/>
    </row>
    <row r="137" spans="1:8" ht="19.899999999999999" customHeight="1">
      <c r="A137" s="969" t="s">
        <v>302</v>
      </c>
      <c r="B137" s="323"/>
      <c r="C137" s="323"/>
      <c r="D137" s="323"/>
      <c r="E137" s="323"/>
      <c r="F137" s="329" t="s">
        <v>101</v>
      </c>
      <c r="G137" s="850">
        <v>0</v>
      </c>
      <c r="H137" s="316"/>
    </row>
    <row r="138" spans="1:8" ht="19.899999999999999" customHeight="1">
      <c r="A138" s="969"/>
      <c r="B138" s="323"/>
      <c r="C138" s="323"/>
      <c r="D138" s="323"/>
      <c r="E138" s="323"/>
      <c r="F138" s="329"/>
      <c r="G138" s="1010"/>
      <c r="H138" s="316"/>
    </row>
    <row r="139" spans="1:8" ht="19.899999999999999" customHeight="1">
      <c r="A139" s="971" t="s">
        <v>244</v>
      </c>
      <c r="B139" s="323"/>
      <c r="C139" s="323"/>
      <c r="D139" s="323"/>
      <c r="E139" s="323"/>
      <c r="F139" s="329"/>
      <c r="G139" s="992">
        <f>SUM(G130:G137)</f>
        <v>4177907.58</v>
      </c>
      <c r="H139" s="316"/>
    </row>
    <row r="140" spans="1:8" ht="19.899999999999999" customHeight="1">
      <c r="A140" s="969"/>
      <c r="B140" s="323"/>
      <c r="C140" s="323"/>
      <c r="D140" s="323"/>
      <c r="E140" s="323"/>
      <c r="F140" s="329"/>
      <c r="G140" s="349"/>
      <c r="H140" s="316"/>
    </row>
    <row r="141" spans="1:8" ht="19.899999999999999" customHeight="1" thickBot="1">
      <c r="A141" s="1054" t="s">
        <v>102</v>
      </c>
      <c r="B141" s="1055"/>
      <c r="C141" s="1055"/>
      <c r="D141" s="1055"/>
      <c r="E141" s="1055"/>
      <c r="F141" s="1056"/>
      <c r="G141" s="1058">
        <f>G63+G71+G85+G94+G103+G113+G117+G126+G139</f>
        <v>143541343.40000001</v>
      </c>
      <c r="H141" s="316"/>
    </row>
    <row r="142" spans="1:8" ht="19.899999999999999" customHeight="1" thickTop="1">
      <c r="A142" s="978"/>
      <c r="B142" s="979"/>
      <c r="C142" s="979"/>
      <c r="D142" s="979"/>
      <c r="E142" s="979"/>
      <c r="F142" s="1011"/>
      <c r="G142" s="1051"/>
      <c r="H142" s="316"/>
    </row>
    <row r="143" spans="1:8" ht="19.899999999999999" customHeight="1">
      <c r="A143" s="1134" t="s">
        <v>103</v>
      </c>
      <c r="B143" s="1135"/>
      <c r="C143" s="1135"/>
      <c r="D143" s="1135"/>
      <c r="E143" s="1135"/>
      <c r="F143" s="1136"/>
      <c r="G143" s="1012"/>
      <c r="H143" s="316"/>
    </row>
    <row r="144" spans="1:8" ht="19.899999999999999" customHeight="1">
      <c r="A144" s="969"/>
      <c r="B144" s="323"/>
      <c r="C144" s="323"/>
      <c r="D144" s="323"/>
      <c r="E144" s="323"/>
      <c r="F144" s="329"/>
      <c r="G144" s="354"/>
      <c r="H144" s="316"/>
    </row>
    <row r="145" spans="1:8" ht="19.899999999999999" customHeight="1">
      <c r="A145" s="969" t="s">
        <v>303</v>
      </c>
      <c r="B145" s="323"/>
      <c r="C145" s="323"/>
      <c r="D145" s="323"/>
      <c r="E145" s="323"/>
      <c r="F145" s="329" t="s">
        <v>104</v>
      </c>
      <c r="G145" s="853">
        <v>3130569.11</v>
      </c>
      <c r="H145" s="316"/>
    </row>
    <row r="146" spans="1:8" ht="19.899999999999999" customHeight="1">
      <c r="A146" s="969" t="s">
        <v>304</v>
      </c>
      <c r="B146" s="316"/>
      <c r="C146" s="316"/>
      <c r="D146" s="316"/>
      <c r="E146" s="316"/>
      <c r="F146" s="329" t="s">
        <v>105</v>
      </c>
      <c r="G146" s="854">
        <v>3635760.59</v>
      </c>
      <c r="H146" s="316"/>
    </row>
    <row r="147" spans="1:8" ht="19.899999999999999" customHeight="1">
      <c r="A147" s="969" t="s">
        <v>306</v>
      </c>
      <c r="B147" s="316"/>
      <c r="C147" s="316"/>
      <c r="D147" s="316"/>
      <c r="E147" s="316"/>
      <c r="F147" s="329" t="s">
        <v>106</v>
      </c>
      <c r="G147" s="854">
        <v>1887580.4</v>
      </c>
      <c r="H147" s="316"/>
    </row>
    <row r="148" spans="1:8" ht="19.899999999999999" customHeight="1">
      <c r="A148" s="969" t="s">
        <v>305</v>
      </c>
      <c r="B148" s="316"/>
      <c r="C148" s="316"/>
      <c r="D148" s="316"/>
      <c r="E148" s="316"/>
      <c r="F148" s="329" t="s">
        <v>107</v>
      </c>
      <c r="G148" s="854">
        <v>0</v>
      </c>
      <c r="H148" s="316"/>
    </row>
    <row r="149" spans="1:8" ht="19.899999999999999" customHeight="1">
      <c r="A149" s="969" t="s">
        <v>307</v>
      </c>
      <c r="B149" s="316"/>
      <c r="C149" s="316"/>
      <c r="D149" s="316"/>
      <c r="E149" s="316"/>
      <c r="F149" s="329" t="s">
        <v>108</v>
      </c>
      <c r="G149" s="854">
        <v>0</v>
      </c>
      <c r="H149" s="316"/>
    </row>
    <row r="150" spans="1:8" ht="19.899999999999999" customHeight="1">
      <c r="A150" s="969" t="s">
        <v>308</v>
      </c>
      <c r="B150" s="323"/>
      <c r="C150" s="323"/>
      <c r="D150" s="323"/>
      <c r="E150" s="323"/>
      <c r="F150" s="329" t="s">
        <v>109</v>
      </c>
      <c r="G150" s="854">
        <f>24314793.56+138912.92+86495+84825.65</f>
        <v>24625027.129999999</v>
      </c>
      <c r="H150" s="316"/>
    </row>
    <row r="151" spans="1:8" ht="19.899999999999999" customHeight="1">
      <c r="A151" s="969" t="s">
        <v>408</v>
      </c>
      <c r="B151" s="323"/>
      <c r="C151" s="323"/>
      <c r="D151" s="323"/>
      <c r="E151" s="323"/>
      <c r="F151" s="329" t="s">
        <v>110</v>
      </c>
      <c r="G151" s="854">
        <v>3834174.16</v>
      </c>
      <c r="H151" s="316"/>
    </row>
    <row r="152" spans="1:8" ht="19.899999999999999" customHeight="1">
      <c r="A152" s="969" t="s">
        <v>309</v>
      </c>
      <c r="B152" s="323"/>
      <c r="C152" s="323"/>
      <c r="D152" s="323"/>
      <c r="E152" s="323"/>
      <c r="F152" s="329" t="s">
        <v>111</v>
      </c>
      <c r="G152" s="854">
        <v>0</v>
      </c>
      <c r="H152" s="316"/>
    </row>
    <row r="153" spans="1:8" ht="19.899999999999999" customHeight="1">
      <c r="A153" s="969" t="s">
        <v>310</v>
      </c>
      <c r="B153" s="323"/>
      <c r="C153" s="323"/>
      <c r="D153" s="323"/>
      <c r="E153" s="323"/>
      <c r="F153" s="329" t="s">
        <v>112</v>
      </c>
      <c r="G153" s="854">
        <v>1623842.14</v>
      </c>
      <c r="H153" s="316"/>
    </row>
    <row r="154" spans="1:8" ht="19.899999999999999" customHeight="1">
      <c r="A154" s="969" t="s">
        <v>311</v>
      </c>
      <c r="B154" s="323"/>
      <c r="C154" s="323"/>
      <c r="D154" s="323"/>
      <c r="E154" s="323"/>
      <c r="F154" s="329" t="s">
        <v>113</v>
      </c>
      <c r="G154" s="854">
        <v>0</v>
      </c>
      <c r="H154" s="316"/>
    </row>
    <row r="155" spans="1:8" ht="19.899999999999999" customHeight="1">
      <c r="A155" s="969" t="s">
        <v>399</v>
      </c>
      <c r="B155" s="323"/>
      <c r="C155" s="323"/>
      <c r="D155" s="323"/>
      <c r="E155" s="323"/>
      <c r="F155" s="332">
        <v>52500</v>
      </c>
      <c r="G155" s="854">
        <v>0</v>
      </c>
      <c r="H155" s="316"/>
    </row>
    <row r="156" spans="1:8" ht="19.899999999999999" customHeight="1">
      <c r="A156" s="969" t="s">
        <v>393</v>
      </c>
      <c r="B156" s="323"/>
      <c r="C156" s="323"/>
      <c r="D156" s="323"/>
      <c r="E156" s="323"/>
      <c r="F156" s="329" t="s">
        <v>114</v>
      </c>
      <c r="G156" s="854">
        <v>0</v>
      </c>
      <c r="H156" s="316"/>
    </row>
    <row r="157" spans="1:8" ht="19.899999999999999" customHeight="1">
      <c r="A157" s="969" t="s">
        <v>312</v>
      </c>
      <c r="B157" s="323"/>
      <c r="C157" s="323"/>
      <c r="D157" s="323"/>
      <c r="E157" s="323"/>
      <c r="F157" s="329" t="s">
        <v>115</v>
      </c>
      <c r="G157" s="854">
        <v>0</v>
      </c>
      <c r="H157" s="316"/>
    </row>
    <row r="158" spans="1:8" ht="19.899999999999999" customHeight="1">
      <c r="A158" s="969" t="s">
        <v>313</v>
      </c>
      <c r="B158" s="323"/>
      <c r="C158" s="323"/>
      <c r="D158" s="323"/>
      <c r="E158" s="323"/>
      <c r="F158" s="329" t="s">
        <v>116</v>
      </c>
      <c r="G158" s="854">
        <v>0</v>
      </c>
      <c r="H158" s="316"/>
    </row>
    <row r="159" spans="1:8" ht="19.899999999999999" customHeight="1">
      <c r="A159" s="969" t="s">
        <v>394</v>
      </c>
      <c r="B159" s="323"/>
      <c r="C159" s="323"/>
      <c r="D159" s="323"/>
      <c r="E159" s="323"/>
      <c r="F159" s="329" t="s">
        <v>117</v>
      </c>
      <c r="G159" s="854">
        <v>0</v>
      </c>
      <c r="H159" s="316"/>
    </row>
    <row r="160" spans="1:8" ht="19.899999999999999" customHeight="1">
      <c r="A160" s="969" t="s">
        <v>314</v>
      </c>
      <c r="B160" s="323"/>
      <c r="C160" s="323"/>
      <c r="D160" s="323"/>
      <c r="E160" s="323"/>
      <c r="F160" s="329" t="s">
        <v>118</v>
      </c>
      <c r="G160" s="854">
        <f>10808564.53+5000897.66</f>
        <v>15809462.189999999</v>
      </c>
      <c r="H160" s="316"/>
    </row>
    <row r="161" spans="1:8" ht="19.899999999999999" customHeight="1">
      <c r="A161" s="969" t="s">
        <v>409</v>
      </c>
      <c r="B161" s="323"/>
      <c r="C161" s="323"/>
      <c r="D161" s="323"/>
      <c r="E161" s="323"/>
      <c r="F161" s="329" t="s">
        <v>119</v>
      </c>
      <c r="G161" s="854">
        <v>19908</v>
      </c>
      <c r="H161" s="316"/>
    </row>
    <row r="162" spans="1:8" ht="19.899999999999999" customHeight="1">
      <c r="A162" s="969" t="s">
        <v>315</v>
      </c>
      <c r="B162" s="323"/>
      <c r="C162" s="323"/>
      <c r="D162" s="323"/>
      <c r="E162" s="323"/>
      <c r="F162" s="329" t="s">
        <v>120</v>
      </c>
      <c r="G162" s="854">
        <v>0</v>
      </c>
      <c r="H162" s="316"/>
    </row>
    <row r="163" spans="1:8" ht="19.899999999999999" customHeight="1">
      <c r="A163" s="969" t="s">
        <v>401</v>
      </c>
      <c r="B163" s="323"/>
      <c r="C163" s="323"/>
      <c r="D163" s="323"/>
      <c r="E163" s="323"/>
      <c r="F163" s="329" t="s">
        <v>121</v>
      </c>
      <c r="G163" s="854">
        <v>0</v>
      </c>
      <c r="H163" s="316"/>
    </row>
    <row r="164" spans="1:8" ht="19.899999999999999" customHeight="1">
      <c r="A164" s="969" t="s">
        <v>316</v>
      </c>
      <c r="B164" s="323"/>
      <c r="C164" s="323"/>
      <c r="D164" s="323"/>
      <c r="E164" s="323"/>
      <c r="F164" s="329" t="s">
        <v>122</v>
      </c>
      <c r="G164" s="854">
        <v>106999.15</v>
      </c>
      <c r="H164" s="316"/>
    </row>
    <row r="165" spans="1:8" ht="19.899999999999999" customHeight="1">
      <c r="A165" s="969" t="s">
        <v>317</v>
      </c>
      <c r="B165" s="323"/>
      <c r="C165" s="323"/>
      <c r="D165" s="323"/>
      <c r="E165" s="323"/>
      <c r="F165" s="329" t="s">
        <v>123</v>
      </c>
      <c r="G165" s="854">
        <v>16476410.359999999</v>
      </c>
      <c r="H165" s="316"/>
    </row>
    <row r="166" spans="1:8" ht="19.899999999999999" customHeight="1">
      <c r="A166" s="969" t="s">
        <v>318</v>
      </c>
      <c r="B166" s="323"/>
      <c r="C166" s="323"/>
      <c r="D166" s="323"/>
      <c r="E166" s="323"/>
      <c r="F166" s="329" t="s">
        <v>124</v>
      </c>
      <c r="G166" s="854">
        <v>264606.84000000003</v>
      </c>
      <c r="H166" s="316"/>
    </row>
    <row r="167" spans="1:8" ht="19.899999999999999" customHeight="1">
      <c r="A167" s="969" t="s">
        <v>375</v>
      </c>
      <c r="B167" s="323"/>
      <c r="C167" s="323"/>
      <c r="D167" s="323"/>
      <c r="E167" s="323"/>
      <c r="F167" s="329" t="s">
        <v>125</v>
      </c>
      <c r="G167" s="854">
        <v>200724.61</v>
      </c>
      <c r="H167" s="316"/>
    </row>
    <row r="168" spans="1:8" ht="19.899999999999999" customHeight="1">
      <c r="A168" s="969" t="s">
        <v>410</v>
      </c>
      <c r="B168" s="323"/>
      <c r="C168" s="323"/>
      <c r="D168" s="323"/>
      <c r="E168" s="323"/>
      <c r="F168" s="329" t="s">
        <v>126</v>
      </c>
      <c r="G168" s="854">
        <v>0</v>
      </c>
      <c r="H168" s="316"/>
    </row>
    <row r="169" spans="1:8" ht="19.899999999999999" customHeight="1">
      <c r="A169" s="969" t="s">
        <v>395</v>
      </c>
      <c r="B169" s="323"/>
      <c r="C169" s="323"/>
      <c r="D169" s="323"/>
      <c r="E169" s="323"/>
      <c r="F169" s="329" t="s">
        <v>127</v>
      </c>
      <c r="G169" s="854">
        <v>0</v>
      </c>
      <c r="H169" s="316"/>
    </row>
    <row r="170" spans="1:8" ht="19.899999999999999" customHeight="1">
      <c r="A170" s="969" t="s">
        <v>396</v>
      </c>
      <c r="B170" s="323"/>
      <c r="C170" s="323"/>
      <c r="D170" s="323"/>
      <c r="E170" s="323"/>
      <c r="F170" s="332">
        <v>56001</v>
      </c>
      <c r="G170" s="854">
        <f>9073491.84+1017863</f>
        <v>10091354.84</v>
      </c>
      <c r="H170" s="316"/>
    </row>
    <row r="171" spans="1:8" ht="19.899999999999999" customHeight="1">
      <c r="A171" s="969" t="s">
        <v>397</v>
      </c>
      <c r="B171" s="323"/>
      <c r="C171" s="323"/>
      <c r="D171" s="323"/>
      <c r="E171" s="323"/>
      <c r="F171" s="332">
        <v>56002</v>
      </c>
      <c r="G171" s="854">
        <v>0</v>
      </c>
      <c r="H171" s="316"/>
    </row>
    <row r="172" spans="1:8" ht="19.899999999999999" customHeight="1">
      <c r="A172" s="969" t="s">
        <v>398</v>
      </c>
      <c r="B172" s="323"/>
      <c r="C172" s="323"/>
      <c r="D172" s="323"/>
      <c r="E172" s="323"/>
      <c r="F172" s="332">
        <v>56003</v>
      </c>
      <c r="G172" s="854">
        <v>0</v>
      </c>
      <c r="H172" s="316"/>
    </row>
    <row r="173" spans="1:8" ht="19.899999999999999" customHeight="1">
      <c r="A173" s="969" t="s">
        <v>459</v>
      </c>
      <c r="B173" s="323"/>
      <c r="C173" s="323"/>
      <c r="D173" s="323"/>
      <c r="E173" s="323"/>
      <c r="F173" s="355" t="s">
        <v>458</v>
      </c>
      <c r="G173" s="854">
        <v>0</v>
      </c>
      <c r="H173" s="316"/>
    </row>
    <row r="174" spans="1:8" ht="19.899999999999999" customHeight="1">
      <c r="A174" s="969" t="s">
        <v>392</v>
      </c>
      <c r="B174" s="323"/>
      <c r="C174" s="323"/>
      <c r="D174" s="323"/>
      <c r="E174" s="323"/>
      <c r="F174" s="329" t="s">
        <v>128</v>
      </c>
      <c r="G174" s="854">
        <v>0</v>
      </c>
      <c r="H174" s="316"/>
    </row>
    <row r="175" spans="1:8" ht="19.899999999999999" customHeight="1">
      <c r="A175" s="1005" t="s">
        <v>319</v>
      </c>
      <c r="B175" s="316"/>
      <c r="C175" s="316"/>
      <c r="D175" s="316"/>
      <c r="E175" s="316"/>
      <c r="F175" s="351" t="s">
        <v>129</v>
      </c>
      <c r="G175" s="854">
        <v>552121.22</v>
      </c>
      <c r="H175" s="316"/>
    </row>
    <row r="176" spans="1:8" ht="19.899999999999999" customHeight="1">
      <c r="A176" s="969" t="s">
        <v>320</v>
      </c>
      <c r="B176" s="323"/>
      <c r="C176" s="323"/>
      <c r="D176" s="323"/>
      <c r="E176" s="323"/>
      <c r="F176" s="329" t="s">
        <v>130</v>
      </c>
      <c r="G176" s="854">
        <v>1301547.69</v>
      </c>
      <c r="H176" s="316"/>
    </row>
    <row r="177" spans="1:8" ht="19.899999999999999" customHeight="1">
      <c r="A177" s="969" t="s">
        <v>321</v>
      </c>
      <c r="B177" s="323"/>
      <c r="C177" s="323"/>
      <c r="D177" s="323"/>
      <c r="E177" s="323"/>
      <c r="F177" s="329" t="s">
        <v>131</v>
      </c>
      <c r="G177" s="854">
        <v>0</v>
      </c>
      <c r="H177" s="316"/>
    </row>
    <row r="178" spans="1:8" ht="19.899999999999999" customHeight="1">
      <c r="A178" s="969" t="s">
        <v>322</v>
      </c>
      <c r="B178" s="323"/>
      <c r="C178" s="323"/>
      <c r="D178" s="323"/>
      <c r="E178" s="323"/>
      <c r="F178" s="329" t="s">
        <v>132</v>
      </c>
      <c r="G178" s="854">
        <v>0</v>
      </c>
      <c r="H178" s="316"/>
    </row>
    <row r="179" spans="1:8" ht="19.899999999999999" customHeight="1">
      <c r="A179" s="969" t="s">
        <v>323</v>
      </c>
      <c r="B179" s="323"/>
      <c r="C179" s="323"/>
      <c r="D179" s="323"/>
      <c r="E179" s="323"/>
      <c r="F179" s="329" t="s">
        <v>133</v>
      </c>
      <c r="G179" s="854">
        <v>0</v>
      </c>
      <c r="H179" s="316"/>
    </row>
    <row r="180" spans="1:8" ht="19.899999999999999" customHeight="1">
      <c r="A180" s="969" t="s">
        <v>324</v>
      </c>
      <c r="B180" s="323"/>
      <c r="C180" s="323"/>
      <c r="D180" s="323"/>
      <c r="E180" s="323"/>
      <c r="F180" s="329" t="s">
        <v>134</v>
      </c>
      <c r="G180" s="854">
        <v>422851</v>
      </c>
      <c r="H180" s="316"/>
    </row>
    <row r="181" spans="1:8" ht="19.899999999999999" customHeight="1">
      <c r="A181" s="969" t="s">
        <v>325</v>
      </c>
      <c r="B181" s="323"/>
      <c r="C181" s="323"/>
      <c r="D181" s="323"/>
      <c r="E181" s="323"/>
      <c r="F181" s="329" t="s">
        <v>135</v>
      </c>
      <c r="G181" s="854">
        <v>0</v>
      </c>
      <c r="H181" s="316"/>
    </row>
    <row r="182" spans="1:8" ht="19.899999999999999" customHeight="1">
      <c r="A182" s="969" t="s">
        <v>326</v>
      </c>
      <c r="B182" s="323"/>
      <c r="C182" s="323"/>
      <c r="D182" s="323"/>
      <c r="E182" s="323"/>
      <c r="F182" s="329" t="s">
        <v>136</v>
      </c>
      <c r="G182" s="854">
        <v>20000</v>
      </c>
      <c r="H182" s="316"/>
    </row>
    <row r="183" spans="1:8" ht="19.899999999999999" customHeight="1">
      <c r="A183" s="969" t="s">
        <v>327</v>
      </c>
      <c r="B183" s="323"/>
      <c r="C183" s="323"/>
      <c r="D183" s="323"/>
      <c r="E183" s="323"/>
      <c r="F183" s="329" t="s">
        <v>137</v>
      </c>
      <c r="G183" s="854">
        <f>4220517.91+1015403.12</f>
        <v>5235921.03</v>
      </c>
      <c r="H183" s="316"/>
    </row>
    <row r="184" spans="1:8" ht="19.899999999999999" customHeight="1">
      <c r="A184" s="969" t="s">
        <v>328</v>
      </c>
      <c r="B184" s="323"/>
      <c r="C184" s="323"/>
      <c r="D184" s="323"/>
      <c r="E184" s="323"/>
      <c r="F184" s="329" t="s">
        <v>138</v>
      </c>
      <c r="G184" s="854">
        <f>6153288.34+8268.08</f>
        <v>6161556.4199999999</v>
      </c>
      <c r="H184" s="316"/>
    </row>
    <row r="185" spans="1:8" ht="19.899999999999999" customHeight="1">
      <c r="A185" s="969" t="s">
        <v>391</v>
      </c>
      <c r="B185" s="323"/>
      <c r="C185" s="323"/>
      <c r="D185" s="323"/>
      <c r="E185" s="323"/>
      <c r="F185" s="329" t="s">
        <v>139</v>
      </c>
      <c r="G185" s="854">
        <f>250000+80000</f>
        <v>330000</v>
      </c>
      <c r="H185" s="316"/>
    </row>
    <row r="186" spans="1:8" ht="19.899999999999999" customHeight="1">
      <c r="A186" s="969" t="s">
        <v>329</v>
      </c>
      <c r="B186" s="323"/>
      <c r="C186" s="323"/>
      <c r="D186" s="323"/>
      <c r="E186" s="323"/>
      <c r="F186" s="329" t="s">
        <v>140</v>
      </c>
      <c r="G186" s="854">
        <v>0</v>
      </c>
      <c r="H186" s="316"/>
    </row>
    <row r="187" spans="1:8" ht="19.899999999999999" customHeight="1">
      <c r="A187" s="969" t="s">
        <v>330</v>
      </c>
      <c r="B187" s="323"/>
      <c r="C187" s="323"/>
      <c r="D187" s="323"/>
      <c r="E187" s="323"/>
      <c r="F187" s="329" t="s">
        <v>141</v>
      </c>
      <c r="G187" s="854">
        <v>71050</v>
      </c>
      <c r="H187" s="316"/>
    </row>
    <row r="188" spans="1:8" ht="19.899999999999999" customHeight="1">
      <c r="A188" s="969" t="s">
        <v>481</v>
      </c>
      <c r="B188" s="323"/>
      <c r="C188" s="323"/>
      <c r="D188" s="323"/>
      <c r="E188" s="323"/>
      <c r="F188" s="356">
        <v>59600</v>
      </c>
      <c r="G188" s="854">
        <v>1100000</v>
      </c>
      <c r="H188" s="316"/>
    </row>
    <row r="189" spans="1:8" ht="19.899999999999999" customHeight="1">
      <c r="A189" s="969" t="s">
        <v>331</v>
      </c>
      <c r="B189" s="323"/>
      <c r="C189" s="323"/>
      <c r="D189" s="323"/>
      <c r="E189" s="323"/>
      <c r="F189" s="329" t="s">
        <v>142</v>
      </c>
      <c r="G189" s="854">
        <f>11513726.04+1151443.98+337635.19+4175.06+383814.66</f>
        <v>13390794.93</v>
      </c>
      <c r="H189" s="316"/>
    </row>
    <row r="190" spans="1:8" ht="19.899999999999999" customHeight="1">
      <c r="A190" s="969" t="s">
        <v>332</v>
      </c>
      <c r="B190" s="323"/>
      <c r="C190" s="323"/>
      <c r="D190" s="323"/>
      <c r="E190" s="323"/>
      <c r="F190" s="329" t="s">
        <v>143</v>
      </c>
      <c r="G190" s="854">
        <f>102732+125000</f>
        <v>227732</v>
      </c>
      <c r="H190" s="316"/>
    </row>
    <row r="191" spans="1:8" ht="19.899999999999999" customHeight="1">
      <c r="A191" s="969" t="s">
        <v>333</v>
      </c>
      <c r="B191" s="323"/>
      <c r="C191" s="323"/>
      <c r="D191" s="323"/>
      <c r="E191" s="323"/>
      <c r="F191" s="329" t="s">
        <v>144</v>
      </c>
      <c r="G191" s="854">
        <f>1229749.11+0.2+0.4</f>
        <v>1229749.71</v>
      </c>
      <c r="H191" s="316"/>
    </row>
    <row r="192" spans="1:8" ht="19.899999999999999" customHeight="1">
      <c r="A192" s="969"/>
      <c r="B192" s="323"/>
      <c r="C192" s="323"/>
      <c r="D192" s="323"/>
      <c r="E192" s="323"/>
      <c r="F192" s="329"/>
      <c r="G192" s="1013"/>
      <c r="H192" s="316"/>
    </row>
    <row r="193" spans="1:8" ht="19.899999999999999" customHeight="1">
      <c r="A193" s="1036" t="s">
        <v>145</v>
      </c>
      <c r="B193" s="1037"/>
      <c r="C193" s="1037"/>
      <c r="D193" s="1037"/>
      <c r="E193" s="1037"/>
      <c r="F193" s="1052"/>
      <c r="G193" s="1053">
        <f>SUM(G145:G191)</f>
        <v>111749743.52</v>
      </c>
      <c r="H193" s="316"/>
    </row>
    <row r="194" spans="1:8" ht="19.899999999999999" customHeight="1">
      <c r="A194" s="1014"/>
      <c r="B194" s="357"/>
      <c r="C194" s="357"/>
      <c r="D194" s="357"/>
      <c r="E194" s="357"/>
      <c r="F194" s="376"/>
      <c r="G194" s="358"/>
      <c r="H194" s="316"/>
    </row>
    <row r="195" spans="1:8" ht="19.899999999999999" customHeight="1">
      <c r="A195" s="1015" t="s">
        <v>583</v>
      </c>
      <c r="B195" s="1016"/>
      <c r="C195" s="1016"/>
      <c r="D195" s="1016"/>
      <c r="E195" s="1016"/>
      <c r="F195" s="1017"/>
      <c r="G195" s="1018"/>
      <c r="H195" s="316"/>
    </row>
    <row r="196" spans="1:8" ht="19.899999999999999" customHeight="1">
      <c r="A196" s="969"/>
      <c r="B196" s="323"/>
      <c r="C196" s="323"/>
      <c r="D196" s="323"/>
      <c r="E196" s="323"/>
      <c r="F196" s="329"/>
      <c r="G196" s="354"/>
      <c r="H196" s="316"/>
    </row>
    <row r="197" spans="1:8" ht="19.899999999999999" customHeight="1">
      <c r="A197" s="969" t="s">
        <v>334</v>
      </c>
      <c r="B197" s="323"/>
      <c r="C197" s="323"/>
      <c r="D197" s="323"/>
      <c r="E197" s="323"/>
      <c r="F197" s="329" t="s">
        <v>146</v>
      </c>
      <c r="G197" s="853">
        <v>547120.30000000005</v>
      </c>
      <c r="H197" s="316"/>
    </row>
    <row r="198" spans="1:8" ht="19.899999999999999" customHeight="1">
      <c r="A198" s="969" t="s">
        <v>335</v>
      </c>
      <c r="B198" s="323"/>
      <c r="C198" s="323"/>
      <c r="D198" s="323"/>
      <c r="E198" s="323"/>
      <c r="F198" s="329" t="s">
        <v>147</v>
      </c>
      <c r="G198" s="854">
        <v>186496</v>
      </c>
      <c r="H198" s="316"/>
    </row>
    <row r="199" spans="1:8" ht="19.899999999999999" customHeight="1">
      <c r="A199" s="969" t="s">
        <v>336</v>
      </c>
      <c r="B199" s="323"/>
      <c r="C199" s="323"/>
      <c r="D199" s="323"/>
      <c r="E199" s="323"/>
      <c r="F199" s="329" t="s">
        <v>148</v>
      </c>
      <c r="G199" s="854">
        <v>180015</v>
      </c>
      <c r="H199" s="316"/>
    </row>
    <row r="200" spans="1:8" ht="19.899999999999999" customHeight="1">
      <c r="A200" s="969" t="s">
        <v>339</v>
      </c>
      <c r="B200" s="323"/>
      <c r="C200" s="323"/>
      <c r="D200" s="323"/>
      <c r="E200" s="323"/>
      <c r="F200" s="329" t="s">
        <v>149</v>
      </c>
      <c r="G200" s="854">
        <v>367089.48</v>
      </c>
      <c r="H200" s="316"/>
    </row>
    <row r="201" spans="1:8" ht="19.899999999999999" customHeight="1">
      <c r="A201" s="969" t="s">
        <v>495</v>
      </c>
      <c r="B201" s="323"/>
      <c r="C201" s="323"/>
      <c r="D201" s="323"/>
      <c r="E201" s="323"/>
      <c r="F201" s="329" t="s">
        <v>150</v>
      </c>
      <c r="G201" s="854">
        <v>1152501.1200000001</v>
      </c>
      <c r="H201" s="316"/>
    </row>
    <row r="202" spans="1:8" ht="19.899999999999999" customHeight="1">
      <c r="A202" s="969" t="s">
        <v>341</v>
      </c>
      <c r="B202" s="323"/>
      <c r="C202" s="323"/>
      <c r="D202" s="323"/>
      <c r="E202" s="323"/>
      <c r="F202" s="329" t="s">
        <v>151</v>
      </c>
      <c r="G202" s="854">
        <v>2597669.71</v>
      </c>
      <c r="H202" s="316"/>
    </row>
    <row r="203" spans="1:8" ht="19.899999999999999" customHeight="1">
      <c r="A203" s="969" t="s">
        <v>342</v>
      </c>
      <c r="B203" s="323"/>
      <c r="C203" s="323"/>
      <c r="D203" s="323"/>
      <c r="E203" s="323"/>
      <c r="F203" s="329" t="s">
        <v>152</v>
      </c>
      <c r="G203" s="854">
        <v>1877472.36</v>
      </c>
      <c r="H203" s="316"/>
    </row>
    <row r="204" spans="1:8" ht="19.899999999999999" customHeight="1">
      <c r="A204" s="969" t="s">
        <v>343</v>
      </c>
      <c r="B204" s="323"/>
      <c r="C204" s="323"/>
      <c r="D204" s="323"/>
      <c r="E204" s="323"/>
      <c r="F204" s="329" t="s">
        <v>153</v>
      </c>
      <c r="G204" s="854">
        <v>140</v>
      </c>
      <c r="H204" s="316"/>
    </row>
    <row r="205" spans="1:8" ht="19.899999999999999" customHeight="1">
      <c r="A205" s="969" t="s">
        <v>344</v>
      </c>
      <c r="B205" s="323"/>
      <c r="C205" s="323"/>
      <c r="D205" s="323"/>
      <c r="E205" s="323"/>
      <c r="F205" s="329" t="s">
        <v>154</v>
      </c>
      <c r="G205" s="854">
        <v>260000</v>
      </c>
      <c r="H205" s="316"/>
    </row>
    <row r="206" spans="1:8" ht="19.899999999999999" customHeight="1">
      <c r="A206" s="969" t="s">
        <v>345</v>
      </c>
      <c r="B206" s="323"/>
      <c r="C206" s="323"/>
      <c r="D206" s="323"/>
      <c r="E206" s="323"/>
      <c r="F206" s="329" t="s">
        <v>155</v>
      </c>
      <c r="G206" s="854">
        <v>260000</v>
      </c>
      <c r="H206" s="316"/>
    </row>
    <row r="207" spans="1:8" ht="19.899999999999999" customHeight="1">
      <c r="A207" s="969" t="s">
        <v>346</v>
      </c>
      <c r="B207" s="323"/>
      <c r="C207" s="323"/>
      <c r="D207" s="323"/>
      <c r="E207" s="323"/>
      <c r="F207" s="329" t="s">
        <v>156</v>
      </c>
      <c r="G207" s="854">
        <v>4700000</v>
      </c>
      <c r="H207" s="316"/>
    </row>
    <row r="208" spans="1:8" ht="19.899999999999999" customHeight="1">
      <c r="A208" s="969" t="s">
        <v>347</v>
      </c>
      <c r="B208" s="323"/>
      <c r="C208" s="323"/>
      <c r="D208" s="323"/>
      <c r="E208" s="323"/>
      <c r="F208" s="329" t="s">
        <v>157</v>
      </c>
      <c r="G208" s="854">
        <v>100</v>
      </c>
      <c r="H208" s="316"/>
    </row>
    <row r="209" spans="1:8" ht="19.899999999999999" customHeight="1">
      <c r="A209" s="969" t="s">
        <v>348</v>
      </c>
      <c r="B209" s="323"/>
      <c r="C209" s="323"/>
      <c r="D209" s="323"/>
      <c r="E209" s="323"/>
      <c r="F209" s="329" t="s">
        <v>158</v>
      </c>
      <c r="G209" s="854">
        <v>0</v>
      </c>
      <c r="H209" s="316"/>
    </row>
    <row r="210" spans="1:8" ht="19.899999999999999" customHeight="1">
      <c r="A210" s="969" t="s">
        <v>349</v>
      </c>
      <c r="B210" s="316"/>
      <c r="C210" s="316"/>
      <c r="D210" s="316"/>
      <c r="E210" s="316"/>
      <c r="F210" s="329" t="s">
        <v>159</v>
      </c>
      <c r="G210" s="854">
        <v>76213</v>
      </c>
      <c r="H210" s="316"/>
    </row>
    <row r="211" spans="1:8" ht="19.899999999999999" customHeight="1">
      <c r="A211" s="969" t="s">
        <v>350</v>
      </c>
      <c r="B211" s="316"/>
      <c r="C211" s="316"/>
      <c r="D211" s="316"/>
      <c r="E211" s="316"/>
      <c r="F211" s="332">
        <v>64007</v>
      </c>
      <c r="G211" s="854">
        <v>0</v>
      </c>
      <c r="H211" s="316"/>
    </row>
    <row r="212" spans="1:8" ht="19.899999999999999" customHeight="1">
      <c r="A212" s="969" t="s">
        <v>351</v>
      </c>
      <c r="B212" s="323"/>
      <c r="C212" s="323"/>
      <c r="D212" s="323"/>
      <c r="E212" s="323"/>
      <c r="F212" s="329" t="s">
        <v>160</v>
      </c>
      <c r="G212" s="854">
        <f>302081+590739+33261+27920+1020+126619+79049+650+4266+1010+9075+62000+1000+156600+1459+7490+44970</f>
        <v>1449209</v>
      </c>
      <c r="H212" s="316"/>
    </row>
    <row r="213" spans="1:8" ht="19.899999999999999" customHeight="1">
      <c r="A213" s="969" t="s">
        <v>352</v>
      </c>
      <c r="B213" s="323"/>
      <c r="C213" s="323"/>
      <c r="D213" s="323"/>
      <c r="E213" s="323"/>
      <c r="F213" s="329" t="s">
        <v>161</v>
      </c>
      <c r="G213" s="854">
        <v>0</v>
      </c>
      <c r="H213" s="316"/>
    </row>
    <row r="214" spans="1:8" ht="19.899999999999999" customHeight="1">
      <c r="A214" s="969" t="s">
        <v>353</v>
      </c>
      <c r="B214" s="323"/>
      <c r="C214" s="323"/>
      <c r="D214" s="323"/>
      <c r="E214" s="323"/>
      <c r="F214" s="329" t="s">
        <v>162</v>
      </c>
      <c r="G214" s="854">
        <v>0</v>
      </c>
      <c r="H214" s="316"/>
    </row>
    <row r="215" spans="1:8" ht="19.899999999999999" customHeight="1">
      <c r="A215" s="969" t="s">
        <v>354</v>
      </c>
      <c r="B215" s="323"/>
      <c r="C215" s="323"/>
      <c r="D215" s="323"/>
      <c r="E215" s="323"/>
      <c r="F215" s="329" t="s">
        <v>163</v>
      </c>
      <c r="G215" s="854">
        <v>2883483</v>
      </c>
      <c r="H215" s="316"/>
    </row>
    <row r="216" spans="1:8" ht="19.899999999999999" customHeight="1">
      <c r="A216" s="969" t="s">
        <v>406</v>
      </c>
      <c r="B216" s="323"/>
      <c r="C216" s="323"/>
      <c r="D216" s="323"/>
      <c r="E216" s="323"/>
      <c r="F216" s="329" t="s">
        <v>164</v>
      </c>
      <c r="G216" s="854">
        <v>2305985.42</v>
      </c>
      <c r="H216" s="316"/>
    </row>
    <row r="217" spans="1:8" ht="19.899999999999999" customHeight="1">
      <c r="A217" s="969" t="s">
        <v>355</v>
      </c>
      <c r="B217" s="316"/>
      <c r="C217" s="316"/>
      <c r="D217" s="316"/>
      <c r="E217" s="316"/>
      <c r="F217" s="351" t="s">
        <v>165</v>
      </c>
      <c r="G217" s="854">
        <v>3963224</v>
      </c>
      <c r="H217" s="316"/>
    </row>
    <row r="218" spans="1:8" ht="19.899999999999999" customHeight="1">
      <c r="A218" s="969" t="s">
        <v>407</v>
      </c>
      <c r="B218" s="323"/>
      <c r="C218" s="323"/>
      <c r="D218" s="323"/>
      <c r="E218" s="323"/>
      <c r="F218" s="329" t="s">
        <v>166</v>
      </c>
      <c r="G218" s="854">
        <v>783472</v>
      </c>
      <c r="H218" s="316"/>
    </row>
    <row r="219" spans="1:8" ht="19.899999999999999" customHeight="1">
      <c r="A219" s="969" t="s">
        <v>356</v>
      </c>
      <c r="B219" s="323"/>
      <c r="C219" s="323"/>
      <c r="D219" s="323"/>
      <c r="E219" s="323"/>
      <c r="F219" s="329" t="s">
        <v>167</v>
      </c>
      <c r="G219" s="854">
        <v>564518.34</v>
      </c>
      <c r="H219" s="316"/>
    </row>
    <row r="220" spans="1:8" ht="19.899999999999999" customHeight="1">
      <c r="A220" s="970" t="s">
        <v>357</v>
      </c>
      <c r="B220" s="326"/>
      <c r="C220" s="326"/>
      <c r="D220" s="326"/>
      <c r="E220" s="326"/>
      <c r="F220" s="343" t="s">
        <v>168</v>
      </c>
      <c r="G220" s="854">
        <v>404043</v>
      </c>
      <c r="H220" s="316"/>
    </row>
    <row r="221" spans="1:8" ht="19.899999999999999" customHeight="1">
      <c r="A221" s="969" t="s">
        <v>358</v>
      </c>
      <c r="B221" s="323"/>
      <c r="C221" s="323"/>
      <c r="D221" s="323"/>
      <c r="E221" s="323"/>
      <c r="F221" s="348" t="s">
        <v>169</v>
      </c>
      <c r="G221" s="854">
        <f>15000+2000</f>
        <v>17000</v>
      </c>
      <c r="H221" s="316"/>
    </row>
    <row r="222" spans="1:8" ht="19.899999999999999" customHeight="1">
      <c r="A222" s="969" t="s">
        <v>359</v>
      </c>
      <c r="B222" s="323"/>
      <c r="C222" s="323"/>
      <c r="D222" s="323"/>
      <c r="E222" s="323"/>
      <c r="F222" s="329" t="s">
        <v>170</v>
      </c>
      <c r="G222" s="854">
        <v>0</v>
      </c>
      <c r="H222" s="316"/>
    </row>
    <row r="223" spans="1:8" ht="19.899999999999999" customHeight="1">
      <c r="A223" s="969" t="s">
        <v>360</v>
      </c>
      <c r="B223" s="323"/>
      <c r="C223" s="323"/>
      <c r="D223" s="323"/>
      <c r="E223" s="323"/>
      <c r="F223" s="329" t="s">
        <v>171</v>
      </c>
      <c r="G223" s="854">
        <v>0</v>
      </c>
      <c r="H223" s="316"/>
    </row>
    <row r="224" spans="1:8" ht="19.899999999999999" customHeight="1">
      <c r="A224" s="969" t="s">
        <v>361</v>
      </c>
      <c r="B224" s="323"/>
      <c r="C224" s="323"/>
      <c r="D224" s="323"/>
      <c r="E224" s="323"/>
      <c r="F224" s="329" t="s">
        <v>172</v>
      </c>
      <c r="G224" s="854">
        <v>2495326</v>
      </c>
      <c r="H224" s="316"/>
    </row>
    <row r="225" spans="1:9" ht="19.899999999999999" customHeight="1">
      <c r="A225" s="969" t="s">
        <v>362</v>
      </c>
      <c r="B225" s="323"/>
      <c r="C225" s="323"/>
      <c r="D225" s="323"/>
      <c r="E225" s="323"/>
      <c r="F225" s="329" t="s">
        <v>173</v>
      </c>
      <c r="G225" s="854">
        <v>0</v>
      </c>
      <c r="H225" s="316"/>
    </row>
    <row r="226" spans="1:9" ht="19.899999999999999" customHeight="1">
      <c r="A226" s="969" t="s">
        <v>363</v>
      </c>
      <c r="B226" s="323"/>
      <c r="C226" s="323"/>
      <c r="D226" s="323"/>
      <c r="E226" s="323"/>
      <c r="F226" s="329" t="s">
        <v>174</v>
      </c>
      <c r="G226" s="854">
        <v>0</v>
      </c>
      <c r="H226" s="316"/>
    </row>
    <row r="227" spans="1:9" ht="19.899999999999999" customHeight="1">
      <c r="A227" s="1019" t="s">
        <v>439</v>
      </c>
      <c r="B227" s="323"/>
      <c r="C227" s="323"/>
      <c r="D227" s="359"/>
      <c r="E227" s="323"/>
      <c r="F227" s="360" t="s">
        <v>234</v>
      </c>
      <c r="G227" s="854">
        <v>0</v>
      </c>
      <c r="H227" s="316"/>
    </row>
    <row r="228" spans="1:9" ht="19.899999999999999" customHeight="1">
      <c r="A228" s="1019" t="s">
        <v>440</v>
      </c>
      <c r="B228" s="361"/>
      <c r="C228" s="361"/>
      <c r="D228" s="362"/>
      <c r="E228" s="361"/>
      <c r="F228" s="363" t="s">
        <v>250</v>
      </c>
      <c r="G228" s="854">
        <v>250000</v>
      </c>
      <c r="H228" s="316"/>
    </row>
    <row r="229" spans="1:9" ht="19.899999999999999" customHeight="1">
      <c r="A229" s="1019" t="s">
        <v>441</v>
      </c>
      <c r="B229" s="361"/>
      <c r="C229" s="361"/>
      <c r="D229" s="362"/>
      <c r="E229" s="361"/>
      <c r="F229" s="363" t="s">
        <v>251</v>
      </c>
      <c r="G229" s="854">
        <v>300000</v>
      </c>
      <c r="H229" s="316"/>
    </row>
    <row r="230" spans="1:9" ht="19.899999999999999" customHeight="1">
      <c r="A230" s="1019" t="s">
        <v>442</v>
      </c>
      <c r="B230" s="361"/>
      <c r="C230" s="361"/>
      <c r="D230" s="362"/>
      <c r="E230" s="361"/>
      <c r="F230" s="364" t="s">
        <v>175</v>
      </c>
      <c r="G230" s="854">
        <v>300000</v>
      </c>
      <c r="H230" s="316"/>
    </row>
    <row r="231" spans="1:9" ht="19.899999999999999" customHeight="1">
      <c r="A231" s="1019" t="s">
        <v>448</v>
      </c>
      <c r="B231" s="361"/>
      <c r="C231" s="361"/>
      <c r="D231" s="362"/>
      <c r="E231" s="361"/>
      <c r="F231" s="365">
        <v>69270</v>
      </c>
      <c r="G231" s="854">
        <v>0</v>
      </c>
      <c r="H231" s="316"/>
    </row>
    <row r="232" spans="1:9" ht="19.899999999999999" customHeight="1">
      <c r="A232" s="969" t="s">
        <v>366</v>
      </c>
      <c r="B232" s="323"/>
      <c r="C232" s="323"/>
      <c r="D232" s="323"/>
      <c r="E232" s="323"/>
      <c r="F232" s="329" t="s">
        <v>176</v>
      </c>
      <c r="G232" s="854">
        <f>1100000+50000</f>
        <v>1150000</v>
      </c>
      <c r="H232" s="316"/>
      <c r="I232" s="366"/>
    </row>
    <row r="233" spans="1:9" ht="19.899999999999999" customHeight="1">
      <c r="A233" s="969" t="s">
        <v>597</v>
      </c>
      <c r="B233" s="323"/>
      <c r="C233" s="323"/>
      <c r="D233" s="323"/>
      <c r="E233" s="323"/>
      <c r="F233" s="329" t="s">
        <v>177</v>
      </c>
      <c r="G233" s="854">
        <v>0</v>
      </c>
      <c r="H233" s="316"/>
    </row>
    <row r="234" spans="1:9" ht="19.899999999999999" customHeight="1">
      <c r="A234" s="969" t="s">
        <v>367</v>
      </c>
      <c r="B234" s="323"/>
      <c r="C234" s="323"/>
      <c r="D234" s="323"/>
      <c r="E234" s="323"/>
      <c r="F234" s="329" t="s">
        <v>178</v>
      </c>
      <c r="G234" s="1020">
        <f>1143040+1254937.94+0.2-0.4</f>
        <v>2397977.7400000002</v>
      </c>
      <c r="H234" s="316"/>
    </row>
    <row r="235" spans="1:9" ht="19.899999999999999" customHeight="1">
      <c r="A235" s="969"/>
      <c r="B235" s="323"/>
      <c r="C235" s="323"/>
      <c r="D235" s="323"/>
      <c r="E235" s="323"/>
      <c r="F235" s="329"/>
      <c r="G235" s="367"/>
      <c r="H235" s="316"/>
    </row>
    <row r="236" spans="1:9" ht="19.899999999999999" customHeight="1">
      <c r="A236" s="1001" t="s">
        <v>584</v>
      </c>
      <c r="B236" s="979"/>
      <c r="C236" s="979"/>
      <c r="D236" s="979"/>
      <c r="E236" s="979"/>
      <c r="F236" s="980"/>
      <c r="G236" s="1021">
        <f>SUM(G197:G234)</f>
        <v>31469055.469999999</v>
      </c>
      <c r="H236" s="316"/>
    </row>
    <row r="237" spans="1:9" ht="19.899999999999999" customHeight="1">
      <c r="A237" s="1014"/>
      <c r="B237" s="357"/>
      <c r="C237" s="357"/>
      <c r="D237" s="357"/>
      <c r="E237" s="357"/>
      <c r="F237" s="1022"/>
      <c r="G237" s="1023"/>
      <c r="H237" s="316"/>
    </row>
    <row r="238" spans="1:9" ht="19.899999999999999" customHeight="1">
      <c r="A238" s="1137" t="s">
        <v>13</v>
      </c>
      <c r="B238" s="1138"/>
      <c r="C238" s="1138"/>
      <c r="D238" s="1138"/>
      <c r="E238" s="1138"/>
      <c r="F238" s="1139"/>
      <c r="G238" s="1024"/>
      <c r="H238" s="316"/>
    </row>
    <row r="239" spans="1:9" ht="19.899999999999999" customHeight="1">
      <c r="A239" s="969"/>
      <c r="B239" s="323"/>
      <c r="C239" s="323"/>
      <c r="D239" s="323"/>
      <c r="E239" s="323"/>
      <c r="F239" s="329"/>
      <c r="G239" s="367"/>
      <c r="H239" s="316"/>
    </row>
    <row r="240" spans="1:9" ht="19.899999999999999" customHeight="1">
      <c r="A240" s="970" t="s">
        <v>370</v>
      </c>
      <c r="B240" s="326"/>
      <c r="C240" s="326"/>
      <c r="D240" s="326"/>
      <c r="E240" s="326"/>
      <c r="F240" s="343" t="s">
        <v>180</v>
      </c>
      <c r="G240" s="855">
        <f>125259+156102</f>
        <v>281361</v>
      </c>
      <c r="H240" s="316"/>
    </row>
    <row r="241" spans="1:10" ht="19.899999999999999" customHeight="1">
      <c r="A241" s="970" t="s">
        <v>449</v>
      </c>
      <c r="B241" s="326"/>
      <c r="C241" s="326"/>
      <c r="D241" s="326"/>
      <c r="E241" s="326"/>
      <c r="F241" s="343" t="s">
        <v>181</v>
      </c>
      <c r="G241" s="856">
        <v>22376</v>
      </c>
      <c r="H241" s="316"/>
    </row>
    <row r="242" spans="1:10" ht="19.899999999999999" customHeight="1">
      <c r="A242" s="969" t="s">
        <v>368</v>
      </c>
      <c r="B242" s="323"/>
      <c r="C242" s="323"/>
      <c r="D242" s="323"/>
      <c r="E242" s="323"/>
      <c r="F242" s="329" t="s">
        <v>182</v>
      </c>
      <c r="G242" s="856">
        <v>13807</v>
      </c>
      <c r="H242" s="316"/>
    </row>
    <row r="243" spans="1:10" ht="19.899999999999999" customHeight="1">
      <c r="A243" s="970" t="s">
        <v>369</v>
      </c>
      <c r="B243" s="326"/>
      <c r="C243" s="326"/>
      <c r="D243" s="326"/>
      <c r="E243" s="326"/>
      <c r="F243" s="343" t="s">
        <v>183</v>
      </c>
      <c r="G243" s="856">
        <v>0</v>
      </c>
      <c r="H243" s="1059"/>
      <c r="I243" s="319"/>
    </row>
    <row r="244" spans="1:10" ht="19.899999999999999" customHeight="1">
      <c r="A244" s="970" t="s">
        <v>499</v>
      </c>
      <c r="B244" s="326"/>
      <c r="C244" s="326"/>
      <c r="D244" s="326"/>
      <c r="E244" s="326"/>
      <c r="F244" s="350">
        <v>73050</v>
      </c>
      <c r="G244" s="856">
        <v>0</v>
      </c>
      <c r="H244" s="1059"/>
      <c r="I244" s="319"/>
    </row>
    <row r="245" spans="1:10" ht="19.899999999999999" customHeight="1">
      <c r="A245" s="970" t="s">
        <v>372</v>
      </c>
      <c r="B245" s="326"/>
      <c r="C245" s="326"/>
      <c r="D245" s="326"/>
      <c r="E245" s="326"/>
      <c r="F245" s="343" t="s">
        <v>184</v>
      </c>
      <c r="G245" s="856">
        <v>0</v>
      </c>
      <c r="H245" s="1059"/>
      <c r="I245" s="319"/>
    </row>
    <row r="246" spans="1:10" ht="19.899999999999999" customHeight="1">
      <c r="A246" s="970" t="s">
        <v>498</v>
      </c>
      <c r="B246" s="326"/>
      <c r="C246" s="326"/>
      <c r="D246" s="326"/>
      <c r="E246" s="326"/>
      <c r="F246" s="343" t="s">
        <v>185</v>
      </c>
      <c r="G246" s="856">
        <v>5000</v>
      </c>
      <c r="H246" s="1059"/>
      <c r="I246" s="319"/>
      <c r="J246" s="319"/>
    </row>
    <row r="247" spans="1:10" s="319" customFormat="1" ht="19.899999999999999" customHeight="1">
      <c r="A247" s="970" t="s">
        <v>373</v>
      </c>
      <c r="B247" s="326"/>
      <c r="C247" s="326"/>
      <c r="D247" s="326"/>
      <c r="E247" s="326"/>
      <c r="F247" s="343" t="s">
        <v>186</v>
      </c>
      <c r="G247" s="856">
        <v>0</v>
      </c>
      <c r="H247" s="1059"/>
    </row>
    <row r="248" spans="1:10" ht="19.899999999999999" customHeight="1">
      <c r="A248" s="970" t="s">
        <v>496</v>
      </c>
      <c r="B248" s="326"/>
      <c r="C248" s="326"/>
      <c r="D248" s="326"/>
      <c r="E248" s="326"/>
      <c r="F248" s="343" t="s">
        <v>187</v>
      </c>
      <c r="G248" s="856">
        <v>0</v>
      </c>
      <c r="H248" s="1059"/>
      <c r="I248" s="319"/>
      <c r="J248" s="319"/>
    </row>
    <row r="249" spans="1:10" ht="19.899999999999999" customHeight="1">
      <c r="A249" s="970" t="s">
        <v>374</v>
      </c>
      <c r="B249" s="326"/>
      <c r="C249" s="326"/>
      <c r="D249" s="326"/>
      <c r="E249" s="326"/>
      <c r="F249" s="343" t="s">
        <v>188</v>
      </c>
      <c r="G249" s="856">
        <v>0</v>
      </c>
      <c r="H249" s="1059"/>
      <c r="I249" s="319"/>
    </row>
    <row r="250" spans="1:10" ht="19.899999999999999" customHeight="1">
      <c r="A250" s="970"/>
      <c r="B250" s="326"/>
      <c r="C250" s="326"/>
      <c r="D250" s="326"/>
      <c r="E250" s="326"/>
      <c r="F250" s="343"/>
      <c r="G250" s="1025"/>
      <c r="H250" s="1059"/>
      <c r="I250" s="319"/>
    </row>
    <row r="251" spans="1:10" ht="19.899999999999999" customHeight="1">
      <c r="A251" s="1001" t="s">
        <v>189</v>
      </c>
      <c r="B251" s="979"/>
      <c r="C251" s="979"/>
      <c r="D251" s="979"/>
      <c r="E251" s="979"/>
      <c r="F251" s="980"/>
      <c r="G251" s="1021">
        <f>SUM(G240:G249)</f>
        <v>322544</v>
      </c>
      <c r="H251" s="316"/>
    </row>
    <row r="252" spans="1:10" ht="19.899999999999999" customHeight="1">
      <c r="A252" s="1014"/>
      <c r="B252" s="357"/>
      <c r="C252" s="357"/>
      <c r="D252" s="357"/>
      <c r="E252" s="357"/>
      <c r="F252" s="357"/>
      <c r="G252" s="1026"/>
      <c r="H252" s="316"/>
    </row>
    <row r="253" spans="1:10" ht="19.899999999999999" customHeight="1" thickBot="1">
      <c r="A253" s="1054" t="s">
        <v>235</v>
      </c>
      <c r="B253" s="1055"/>
      <c r="C253" s="1055"/>
      <c r="D253" s="1055"/>
      <c r="E253" s="1055"/>
      <c r="F253" s="1056"/>
      <c r="G253" s="1057">
        <f>SUM(G193+G236+G251)</f>
        <v>143541342.99000001</v>
      </c>
      <c r="H253" s="316"/>
    </row>
    <row r="254" spans="1:10" ht="19.899999999999999" customHeight="1" thickTop="1">
      <c r="A254" s="1027"/>
      <c r="B254" s="1028"/>
      <c r="C254" s="1028"/>
      <c r="D254" s="1028"/>
      <c r="E254" s="1028"/>
      <c r="F254" s="1029"/>
      <c r="G254" s="1030"/>
      <c r="H254" s="316"/>
    </row>
    <row r="255" spans="1:10" ht="19.899999999999999" customHeight="1">
      <c r="A255" s="1140"/>
      <c r="B255" s="1141"/>
      <c r="C255" s="1141"/>
      <c r="D255" s="1141"/>
      <c r="E255" s="1141"/>
      <c r="F255" s="1142"/>
      <c r="G255" s="1031"/>
      <c r="H255" s="316"/>
    </row>
    <row r="256" spans="1:10" ht="19.899999999999999" customHeight="1">
      <c r="A256" s="969"/>
      <c r="B256" s="323"/>
      <c r="C256" s="323"/>
      <c r="D256" s="323"/>
      <c r="E256" s="323"/>
      <c r="F256" s="329"/>
      <c r="G256" s="367"/>
      <c r="H256" s="316"/>
    </row>
    <row r="257" spans="1:12" ht="19.899999999999999" customHeight="1">
      <c r="A257" s="969" t="s">
        <v>190</v>
      </c>
      <c r="B257" s="323"/>
      <c r="C257" s="323"/>
      <c r="D257" s="323"/>
      <c r="E257" s="323"/>
      <c r="F257" s="368">
        <v>30100</v>
      </c>
      <c r="G257" s="853">
        <v>490806</v>
      </c>
      <c r="H257" s="316"/>
    </row>
    <row r="258" spans="1:12" ht="19.899999999999999" customHeight="1">
      <c r="A258" s="969" t="s">
        <v>497</v>
      </c>
      <c r="B258" s="323"/>
      <c r="C258" s="323"/>
      <c r="D258" s="323"/>
      <c r="E258" s="323"/>
      <c r="F258" s="368">
        <v>30200</v>
      </c>
      <c r="G258" s="854">
        <v>0</v>
      </c>
      <c r="H258" s="316"/>
    </row>
    <row r="259" spans="1:12" ht="19.899999999999999" customHeight="1">
      <c r="A259" s="969" t="s">
        <v>191</v>
      </c>
      <c r="B259" s="323"/>
      <c r="C259" s="323"/>
      <c r="D259" s="323"/>
      <c r="E259" s="323"/>
      <c r="F259" s="368">
        <v>30300</v>
      </c>
      <c r="G259" s="854">
        <v>0</v>
      </c>
      <c r="H259" s="316"/>
    </row>
    <row r="260" spans="1:12" ht="19.899999999999999" customHeight="1">
      <c r="A260" s="969" t="s">
        <v>192</v>
      </c>
      <c r="B260" s="323"/>
      <c r="C260" s="323"/>
      <c r="D260" s="323"/>
      <c r="E260" s="323"/>
      <c r="F260" s="368">
        <v>30400</v>
      </c>
      <c r="G260" s="854">
        <v>1910321</v>
      </c>
      <c r="H260" s="316"/>
    </row>
    <row r="261" spans="1:12" ht="19.899999999999999" customHeight="1">
      <c r="A261" s="969" t="s">
        <v>193</v>
      </c>
      <c r="B261" s="323"/>
      <c r="C261" s="323"/>
      <c r="D261" s="323"/>
      <c r="E261" s="323"/>
      <c r="F261" s="368">
        <v>30500</v>
      </c>
      <c r="G261" s="854">
        <v>325000</v>
      </c>
      <c r="H261" s="316"/>
    </row>
    <row r="262" spans="1:12" ht="19.899999999999999" customHeight="1">
      <c r="A262" s="969" t="s">
        <v>194</v>
      </c>
      <c r="B262" s="323"/>
      <c r="C262" s="323"/>
      <c r="D262" s="323"/>
      <c r="E262" s="323"/>
      <c r="F262" s="368">
        <v>30600</v>
      </c>
      <c r="G262" s="854">
        <v>0</v>
      </c>
      <c r="H262" s="316"/>
    </row>
    <row r="263" spans="1:12" ht="19.899999999999999" customHeight="1">
      <c r="A263" s="969" t="s">
        <v>195</v>
      </c>
      <c r="B263" s="323"/>
      <c r="C263" s="323"/>
      <c r="D263" s="323"/>
      <c r="E263" s="323"/>
      <c r="F263" s="368">
        <v>30700</v>
      </c>
      <c r="G263" s="854">
        <v>0</v>
      </c>
      <c r="H263" s="316"/>
    </row>
    <row r="264" spans="1:12" ht="19.899999999999999" customHeight="1">
      <c r="A264" s="969" t="s">
        <v>196</v>
      </c>
      <c r="B264" s="323"/>
      <c r="C264" s="323"/>
      <c r="D264" s="323"/>
      <c r="E264" s="323"/>
      <c r="F264" s="368">
        <v>30900</v>
      </c>
      <c r="G264" s="854">
        <v>0</v>
      </c>
      <c r="H264" s="316"/>
    </row>
    <row r="265" spans="1:12" ht="19.899999999999999" customHeight="1">
      <c r="A265" s="969" t="s">
        <v>197</v>
      </c>
      <c r="B265" s="323"/>
      <c r="C265" s="323"/>
      <c r="D265" s="323"/>
      <c r="E265" s="323"/>
      <c r="F265" s="368">
        <v>31100</v>
      </c>
      <c r="G265" s="1032">
        <v>11906262</v>
      </c>
      <c r="H265" s="316"/>
    </row>
    <row r="266" spans="1:12" ht="19.899999999999999" customHeight="1">
      <c r="A266" s="969"/>
      <c r="B266" s="323"/>
      <c r="C266" s="323"/>
      <c r="D266" s="323"/>
      <c r="E266" s="323"/>
      <c r="F266" s="368"/>
      <c r="G266" s="1033"/>
      <c r="H266" s="316"/>
    </row>
    <row r="267" spans="1:12" ht="19.899999999999999" customHeight="1">
      <c r="A267" s="971" t="s">
        <v>476</v>
      </c>
      <c r="B267" s="323"/>
      <c r="C267" s="323"/>
      <c r="D267" s="323"/>
      <c r="E267" s="323"/>
      <c r="F267" s="368"/>
      <c r="G267" s="1034">
        <f>SUM(G257:G265)</f>
        <v>14632389</v>
      </c>
      <c r="H267" s="316"/>
    </row>
    <row r="268" spans="1:12" ht="19.899999999999999" customHeight="1">
      <c r="A268" s="971"/>
      <c r="B268" s="323"/>
      <c r="C268" s="323"/>
      <c r="D268" s="323"/>
      <c r="E268" s="323"/>
      <c r="F268" s="368"/>
      <c r="G268" s="367"/>
      <c r="H268" s="316"/>
    </row>
    <row r="269" spans="1:12" ht="19.899999999999999" customHeight="1" thickBot="1">
      <c r="A269" s="1035" t="s">
        <v>714</v>
      </c>
      <c r="B269" s="316"/>
      <c r="C269" s="316"/>
      <c r="D269" s="316"/>
      <c r="E269" s="316"/>
      <c r="F269" s="351">
        <v>30800</v>
      </c>
      <c r="G269" s="857">
        <v>-44267515</v>
      </c>
      <c r="H269" s="1060"/>
    </row>
    <row r="270" spans="1:12" ht="19.899999999999999" customHeight="1">
      <c r="A270" s="1005"/>
      <c r="B270" s="316"/>
      <c r="C270" s="316"/>
      <c r="D270" s="316"/>
      <c r="E270" s="316"/>
      <c r="F270" s="351"/>
      <c r="G270" s="367"/>
      <c r="H270" s="316"/>
    </row>
    <row r="271" spans="1:12" ht="19.899999999999999" customHeight="1">
      <c r="A271" s="1036" t="s">
        <v>245</v>
      </c>
      <c r="B271" s="1037"/>
      <c r="C271" s="1037"/>
      <c r="D271" s="1037"/>
      <c r="E271" s="1037"/>
      <c r="F271" s="1038"/>
      <c r="G271" s="1039">
        <f>G267+G269</f>
        <v>-29635126</v>
      </c>
      <c r="H271" s="1061"/>
    </row>
    <row r="272" spans="1:12">
      <c r="A272" s="369"/>
      <c r="B272" s="369"/>
      <c r="C272" s="369"/>
      <c r="D272" s="369"/>
      <c r="E272" s="369"/>
      <c r="F272" s="370"/>
      <c r="G272" s="371"/>
      <c r="H272" s="372"/>
      <c r="I272" s="372"/>
      <c r="J272" s="372"/>
      <c r="K272" s="372"/>
      <c r="L272" s="372"/>
    </row>
    <row r="273" spans="1:12" s="319" customFormat="1" ht="13.5" customHeight="1">
      <c r="A273" s="1143"/>
      <c r="B273" s="1143"/>
      <c r="C273" s="1143"/>
      <c r="D273" s="1143"/>
      <c r="E273" s="1143"/>
      <c r="F273" s="1143"/>
      <c r="G273" s="1143"/>
      <c r="H273" s="1143"/>
      <c r="I273" s="373"/>
      <c r="J273" s="373"/>
      <c r="K273" s="373"/>
      <c r="L273" s="373"/>
    </row>
    <row r="274" spans="1:12" s="319" customFormat="1">
      <c r="A274" s="1143"/>
      <c r="B274" s="1143"/>
      <c r="C274" s="1143"/>
      <c r="D274" s="1143"/>
      <c r="E274" s="1143"/>
      <c r="F274" s="1143"/>
      <c r="G274" s="1143"/>
      <c r="H274" s="1143"/>
      <c r="I274" s="373"/>
      <c r="J274" s="373"/>
      <c r="K274" s="373"/>
      <c r="L274" s="373"/>
    </row>
    <row r="275" spans="1:12" s="319" customFormat="1">
      <c r="A275" s="1143"/>
      <c r="B275" s="1143"/>
      <c r="C275" s="1143"/>
      <c r="D275" s="1143"/>
      <c r="E275" s="1143"/>
      <c r="F275" s="1143"/>
      <c r="G275" s="1143"/>
      <c r="H275" s="1143"/>
    </row>
  </sheetData>
  <sheetProtection algorithmName="SHA-512" hashValue="dHncSEjeuVPXmEJg+oZkXnxF6AJFB2Jd5akP2mSRHyXcNSeR6xC9RqXn2FahgDuOamUQ3w32YYWGBRBhSjvPSg==" saltValue="w9X73gzl113VSo5Y7CtdV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5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7:H250 B246:F246 H246"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2019-07-03T18:31:33Z</cp:lastPrinted>
  <dcterms:created xsi:type="dcterms:W3CDTF">2005-03-22T15:46:43Z</dcterms:created>
  <dcterms:modified xsi:type="dcterms:W3CDTF">2020-01-17T16:04:33Z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