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tabRatio="942"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269" i="7" l="1"/>
  <c r="E13" i="4" l="1"/>
  <c r="G189" i="7"/>
  <c r="G183" i="7"/>
  <c r="G150" i="7"/>
  <c r="D54" i="15" l="1"/>
  <c r="D49" i="15"/>
  <c r="D48" i="15"/>
  <c r="D34" i="15"/>
  <c r="D16" i="15"/>
  <c r="D15" i="15"/>
  <c r="E12" i="6" l="1"/>
  <c r="E11" i="6"/>
  <c r="E14" i="6" l="1"/>
  <c r="D14" i="6"/>
  <c r="E13" i="6"/>
  <c r="D13" i="6"/>
  <c r="D12" i="6"/>
  <c r="E10" i="6"/>
  <c r="D10" i="6"/>
  <c r="D11" i="6"/>
  <c r="G232" i="7" l="1"/>
  <c r="E14" i="4" l="1"/>
  <c r="G242" i="7" l="1"/>
  <c r="G188" i="7"/>
  <c r="G124" i="7"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B34" i="5"/>
  <c r="E39" i="6" s="1"/>
  <c r="F39" i="6" s="1"/>
  <c r="H37" i="5"/>
  <c r="I37" i="5" s="1"/>
  <c r="E42" i="6"/>
  <c r="E40" i="6"/>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c r="G10" i="6"/>
  <c r="B53" i="22"/>
  <c r="D75" i="22"/>
  <c r="E75" i="22"/>
  <c r="E65" i="22"/>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E15" i="8"/>
  <c r="E36" i="6"/>
  <c r="F36" i="6" s="1"/>
  <c r="D36" i="6"/>
  <c r="D43" i="6"/>
  <c r="D26" i="6"/>
  <c r="D17" i="6"/>
  <c r="E17" i="6"/>
  <c r="F32" i="6"/>
  <c r="F35" i="6"/>
  <c r="F34" i="6"/>
  <c r="F33" i="6"/>
  <c r="H33" i="6" s="1"/>
  <c r="G31" i="7" s="1"/>
  <c r="F42" i="6"/>
  <c r="G40" i="7" s="1"/>
  <c r="F40" i="6"/>
  <c r="G38" i="7"/>
  <c r="G35" i="6"/>
  <c r="G34" i="6"/>
  <c r="G33" i="6"/>
  <c r="G32" i="6"/>
  <c r="G20" i="5"/>
  <c r="H20" i="5"/>
  <c r="G19" i="5"/>
  <c r="H19" i="5" s="1"/>
  <c r="G22" i="5"/>
  <c r="H22" i="5" s="1"/>
  <c r="G23" i="5"/>
  <c r="H23" i="5"/>
  <c r="E20" i="6"/>
  <c r="F20" i="6" s="1"/>
  <c r="G22" i="7" s="1"/>
  <c r="E21" i="6"/>
  <c r="F21" i="6" s="1"/>
  <c r="G23" i="7" s="1"/>
  <c r="E22" i="6"/>
  <c r="F22" i="6" s="1"/>
  <c r="G24" i="7" s="1"/>
  <c r="E23" i="6"/>
  <c r="F23" i="6" s="1"/>
  <c r="G25" i="7" s="1"/>
  <c r="E24" i="6"/>
  <c r="F24" i="6"/>
  <c r="G26" i="7" s="1"/>
  <c r="G11" i="6"/>
  <c r="G12" i="6"/>
  <c r="G13" i="6"/>
  <c r="G14" i="6"/>
  <c r="H14" i="6" s="1"/>
  <c r="G16" i="7" s="1"/>
  <c r="G15" i="6"/>
  <c r="E20" i="12"/>
  <c r="E29" i="12"/>
  <c r="E30" i="12" s="1"/>
  <c r="G193" i="7"/>
  <c r="D21" i="8"/>
  <c r="E68" i="3"/>
  <c r="F11" i="6"/>
  <c r="H11" i="6" s="1"/>
  <c r="G13" i="7" s="1"/>
  <c r="F12" i="6"/>
  <c r="E46" i="3"/>
  <c r="F14" i="6"/>
  <c r="E48" i="3" s="1"/>
  <c r="F15" i="6"/>
  <c r="E49" i="3"/>
  <c r="F13" i="6"/>
  <c r="H13" i="6" s="1"/>
  <c r="G15" i="7" s="1"/>
  <c r="C94" i="12"/>
  <c r="B31" i="5"/>
  <c r="H31" i="5" s="1"/>
  <c r="I31" i="5" s="1"/>
  <c r="B30" i="5"/>
  <c r="H30" i="5" s="1"/>
  <c r="I30" i="5" s="1"/>
  <c r="G16" i="5"/>
  <c r="H16" i="5"/>
  <c r="G15" i="5"/>
  <c r="H15" i="5"/>
  <c r="D96" i="8"/>
  <c r="C96" i="8"/>
  <c r="B69" i="6"/>
  <c r="C93" i="3" s="1"/>
  <c r="G103" i="7"/>
  <c r="G113" i="7"/>
  <c r="G117" i="7"/>
  <c r="G126" i="7"/>
  <c r="G139" i="7"/>
  <c r="E19" i="4"/>
  <c r="C92" i="3" s="1"/>
  <c r="E69" i="3"/>
  <c r="E70" i="3"/>
  <c r="E71" i="3"/>
  <c r="E72" i="3"/>
  <c r="E73" i="3"/>
  <c r="B21" i="8"/>
  <c r="C21" i="8"/>
  <c r="E10" i="8"/>
  <c r="E12" i="8"/>
  <c r="E16" i="8"/>
  <c r="E17" i="8"/>
  <c r="E18" i="8"/>
  <c r="E19" i="8"/>
  <c r="E20" i="8"/>
  <c r="E36" i="4"/>
  <c r="C127" i="3" s="1"/>
  <c r="C128" i="3" s="1"/>
  <c r="C132" i="3" s="1"/>
  <c r="D33" i="4"/>
  <c r="B60" i="6"/>
  <c r="C96" i="3"/>
  <c r="E26" i="4"/>
  <c r="C95" i="3" s="1"/>
  <c r="E16" i="4"/>
  <c r="G267" i="7"/>
  <c r="G271" i="7" s="1"/>
  <c r="C120" i="3" s="1"/>
  <c r="G94" i="7"/>
  <c r="E66" i="22"/>
  <c r="E70" i="22" s="1"/>
  <c r="E67" i="22"/>
  <c r="E69" i="22" s="1"/>
  <c r="D66" i="22"/>
  <c r="D61" i="22"/>
  <c r="E61" i="22"/>
  <c r="E60" i="22"/>
  <c r="E62" i="22"/>
  <c r="E14" i="8"/>
  <c r="H32" i="6"/>
  <c r="G30" i="7" s="1"/>
  <c r="H34" i="6"/>
  <c r="G32" i="7" s="1"/>
  <c r="H35" i="6"/>
  <c r="G33" i="7" s="1"/>
  <c r="G236" i="7"/>
  <c r="C112" i="3" s="1"/>
  <c r="B70" i="6"/>
  <c r="E68" i="22"/>
  <c r="X141" i="23"/>
  <c r="E21" i="8" l="1"/>
  <c r="C113" i="3"/>
  <c r="C111" i="3"/>
  <c r="C121" i="3"/>
  <c r="D119" i="15"/>
  <c r="F119" i="15" s="1"/>
  <c r="F57" i="15"/>
  <c r="E47" i="3"/>
  <c r="F17" i="6"/>
  <c r="E50" i="3" s="1"/>
  <c r="H12" i="6"/>
  <c r="G14" i="7" s="1"/>
  <c r="E45" i="3"/>
  <c r="E74" i="3"/>
  <c r="H10" i="6"/>
  <c r="D124" i="15" s="1"/>
  <c r="F124" i="15" s="1"/>
  <c r="F26" i="6"/>
  <c r="H15" i="6"/>
  <c r="G17" i="7" s="1"/>
  <c r="G37" i="7"/>
  <c r="G42" i="7" s="1"/>
  <c r="F43" i="6"/>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C137" i="3" l="1"/>
  <c r="G12" i="7"/>
  <c r="G19" i="7" s="1"/>
  <c r="G44" i="7" s="1"/>
  <c r="G63" i="7" s="1"/>
  <c r="C144" i="3"/>
  <c r="H17" i="6"/>
  <c r="H27" i="6" s="1"/>
  <c r="D135" i="15"/>
  <c r="D137" i="15" s="1"/>
  <c r="C139" i="3"/>
  <c r="C147" i="3"/>
  <c r="F125" i="15"/>
  <c r="F135" i="15" s="1"/>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G141" i="7" l="1"/>
  <c r="E18" i="4" s="1"/>
  <c r="E21" i="4" s="1"/>
  <c r="E23" i="4" s="1"/>
  <c r="D32" i="4" s="1"/>
  <c r="E35" i="4" s="1"/>
  <c r="E38" i="4" s="1"/>
  <c r="H46" i="6"/>
  <c r="C34" i="3"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<sst xmlns="http://schemas.openxmlformats.org/spreadsheetml/2006/main" count="1309" uniqueCount="793">
  <si>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</si>
  <si>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</si>
  <si>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</si>
  <si>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</si>
  <si>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</si>
  <si>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</si>
  <si>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</si>
  <si>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</si>
  <si>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</si>
  <si>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</si>
  <si>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</si>
  <si>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</si>
  <si>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</si>
  <si>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</si>
  <si>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</si>
  <si>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</si>
  <si>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</si>
  <si>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</si>
  <si>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</si>
  <si>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</si>
  <si>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</si>
  <si>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</si>
  <si>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</si>
  <si>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</si>
  <si>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</si>
  <si>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</si>
  <si>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</si>
  <si>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</si>
  <si>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</si>
  <si>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</si>
  <si>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</si>
  <si>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</si>
  <si>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</si>
  <si>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</si>
  <si>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</si>
  <si>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</si>
  <si>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</si>
  <si>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</si>
  <si>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</si>
  <si>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</si>
  <si>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</si>
  <si>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</si>
  <si>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</si>
  <si>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</si>
  <si>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</si>
  <si>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</si>
  <si>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</si>
  <si>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</si>
  <si>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</si>
  <si>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</si>
  <si>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</si>
  <si>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</si>
  <si>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</si>
  <si>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</si>
  <si>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</si>
  <si>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</si>
  <si>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</si>
  <si>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</si>
  <si>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</si>
  <si>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</si>
  <si>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</si>
  <si>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</si>
  <si>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</si>
  <si>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</si>
  <si>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</si>
  <si>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</si>
  <si>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</si>
  <si>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</si>
  <si>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</si>
  <si>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</si>
  <si>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</si>
  <si>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</si>
  <si>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</si>
  <si>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</si>
  <si>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</si>
  <si>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</si>
  <si>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</si>
  <si>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</si>
  <si>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</si>
  <si>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</si>
  <si>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</si>
  <si>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</si>
  <si>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</si>
  <si>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</si>
  <si>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</si>
  <si>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</si>
  <si>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</si>
  <si>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</si>
  <si>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</si>
  <si>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</si>
  <si>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</si>
  <si>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</si>
  <si>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</si>
  <si>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</si>
  <si>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</si>
  <si>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</si>
  <si>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</si>
  <si>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</si>
  <si>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</si>
  <si>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</si>
  <si>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</si>
  <si>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</si>
  <si>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</si>
  <si>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</si>
  <si>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</si>
  <si>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</si>
  <si>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</si>
  <si>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</si>
  <si>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</si>
  <si>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</si>
  <si>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</si>
  <si>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</si>
  <si>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</si>
  <si>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</si>
  <si>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</si>
  <si>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</si>
  <si>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</si>
  <si>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</si>
  <si>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</si>
  <si>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</si>
  <si>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</si>
  <si>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</si>
  <si>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</si>
  <si>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</si>
  <si>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</si>
  <si>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</si>
  <si>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</si>
  <si>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</si>
  <si>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</si>
  <si>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</si>
  <si>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</si>
  <si>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</si>
  <si>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</si>
  <si>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</si>
  <si>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</si>
  <si>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</si>
  <si>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</si>
  <si>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</si>
  <si>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</si>
  <si>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</si>
  <si>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</si>
  <si>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</si>
  <si>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</si>
  <si>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</si>
  <si>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</si>
  <si>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</si>
  <si>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</si>
  <si>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</si>
  <si>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</si>
  <si>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</si>
  <si>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</si>
  <si>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</si>
  <si>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</si>
  <si>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</si>
  <si>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</si>
  <si>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</si>
  <si>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</si>
  <si>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</si>
  <si>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</si>
  <si>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</si>
  <si>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</si>
  <si>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</si>
  <si>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</si>
  <si>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</si>
  <si>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</si>
  <si>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</si>
  <si>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</si>
  <si>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</si>
  <si>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</si>
  <si>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</si>
  <si>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</si>
  <si>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</si>
  <si>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</si>
  <si>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</si>
  <si>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</si>
  <si>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</si>
  <si>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</si>
  <si>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</si>
  <si>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</si>
  <si>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</si>
  <si>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</si>
  <si>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</si>
  <si>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</si>
  <si>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</si>
  <si>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</si>
  <si>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</si>
  <si>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</si>
  <si>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</si>
  <si>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</si>
  <si>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</si>
  <si>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</si>
  <si>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</si>
  <si>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</si>
  <si>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</si>
  <si>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</si>
  <si>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</si>
  <si>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</si>
  <si>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</si>
  <si>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</si>
  <si>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</si>
  <si>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</si>
  <si>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</si>
  <si>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</si>
  <si>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</si>
  <si>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</si>
  <si>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</si>
  <si>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</si>
  <si>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</si>
  <si>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</si>
  <si>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</si>
  <si>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</si>
  <si>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</si>
  <si>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</si>
  <si>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</si>
  <si>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</si>
  <si>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</si>
  <si>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</si>
  <si>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</si>
  <si>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</si>
  <si>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</si>
  <si>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</si>
  <si>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</si>
  <si>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</si>
  <si>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</si>
  <si>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</si>
  <si>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</si>
  <si>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</si>
  <si>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</si>
  <si>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</si>
  <si>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</si>
  <si>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</si>
  <si>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</si>
  <si>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</si>
  <si>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</si>
  <si>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</si>
  <si>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</si>
  <si>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</si>
  <si>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</si>
  <si>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</si>
  <si>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</si>
  <si>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</si>
  <si>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</si>
  <si>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</si>
  <si>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</si>
  <si>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</si>
  <si>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</si>
  <si>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</si>
  <si>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</si>
  <si>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</si>
  <si>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</si>
  <si>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</si>
  <si>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</si>
  <si>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</si>
  <si>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</si>
  <si>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</si>
  <si>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</si>
  <si>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</si>
  <si>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</si>
  <si>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</si>
  <si>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</si>
  <si>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</si>
  <si>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</si>
  <si>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</si>
  <si>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</si>
  <si>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</si>
  <si>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</si>
  <si>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</si>
  <si>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</si>
  <si>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</si>
  <si>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</si>
  <si>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</si>
  <si>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</si>
  <si>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</si>
  <si>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</si>
  <si>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</si>
  <si>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</si>
  <si>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</si>
  <si>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</si>
  <si>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</si>
  <si>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</si>
  <si>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</si>
  <si>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</si>
  <si>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</si>
  <si>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</si>
  <si>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</si>
  <si>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</si>
  <si>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</si>
  <si>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</si>
  <si>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</si>
  <si>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</si>
  <si>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</si>
  <si>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</si>
  <si>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</si>
  <si>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</si>
  <si>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</si>
  <si>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</si>
  <si>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</si>
  <si>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</si>
  <si>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</si>
  <si>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</si>
  <si>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</si>
  <si>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</si>
  <si>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</si>
  <si>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</si>
  <si>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</si>
  <si>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</si>
  <si>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</si>
  <si>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</si>
  <si>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</si>
  <si>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</si>
  <si>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</si>
  <si>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</si>
  <si>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</si>
  <si>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</si>
  <si>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</si>
  <si>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</si>
  <si>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</si>
  <si>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</si>
  <si>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</si>
  <si>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</si>
  <si>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</si>
  <si>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</si>
  <si>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</si>
  <si>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</si>
  <si>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</si>
  <si>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</si>
  <si>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</si>
  <si>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</si>
  <si>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</si>
  <si>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</si>
  <si>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</si>
  <si>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</si>
  <si>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</si>
  <si>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</si>
  <si>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</si>
  <si>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</si>
  <si>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</si>
  <si>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</si>
  <si>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</si>
  <si>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</si>
  <si>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</si>
  <si>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</si>
  <si>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</si>
  <si>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</si>
  <si>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</si>
  <si>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</si>
  <si>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</si>
  <si>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</si>
  <si>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</si>
  <si>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</si>
  <si>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</si>
  <si>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</si>
  <si>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</si>
  <si>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</si>
  <si>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</si>
  <si>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</si>
  <si>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</si>
  <si>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</si>
  <si>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</si>
  <si>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</si>
  <si>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</si>
  <si>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</si>
  <si>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</si>
  <si>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</si>
  <si>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</si>
  <si>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</si>
  <si>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</si>
  <si>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</si>
  <si>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</si>
  <si>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</si>
  <si>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</si>
  <si>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</si>
  <si>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</si>
  <si>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</si>
  <si>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</si>
  <si>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</si>
  <si>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</si>
  <si>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</si>
  <si>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</si>
  <si>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</si>
  <si>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</si>
  <si>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</si>
  <si>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</si>
  <si>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</si>
  <si>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</si>
  <si>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</si>
  <si>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</si>
  <si>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</si>
  <si>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</si>
  <si>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</si>
  <si>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</si>
  <si>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</si>
  <si>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</si>
  <si>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</si>
  <si>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</si>
  <si>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</si>
  <si>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</si>
  <si>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</si>
  <si>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</si>
  <si>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</si>
  <si>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</si>
  <si>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</si>
  <si>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</si>
  <si>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</si>
  <si>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</si>
  <si>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</si>
  <si>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</si>
  <si>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</si>
  <si>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</si>
  <si>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</si>
  <si>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</si>
  <si>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</si>
  <si>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</si>
  <si>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</si>
  <si>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</si>
  <si>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</si>
  <si>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</si>
  <si>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</si>
  <si>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</si>
  <si>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</si>
  <si>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</si>
  <si>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</si>
  <si>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</si>
  <si>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</si>
  <si>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</si>
  <si>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</si>
  <si>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</si>
  <si>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</si>
  <si>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</si>
  <si>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</si>
  <si>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</si>
  <si>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</si>
  <si>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</si>
  <si>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</si>
  <si>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</si>
  <si>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</si>
  <si>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</si>
  <si>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</si>
  <si>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</si>
  <si>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</si>
  <si>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</si>
  <si>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</si>
  <si>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</si>
  <si>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</si>
  <si>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</si>
  <si>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</si>
  <si>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</si>
  <si>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</si>
  <si>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</si>
  <si>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</si>
  <si>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</si>
  <si>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</si>
  <si>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</si>
  <si>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</si>
  <si>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</si>
  <si>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</si>
  <si>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</si>
  <si>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</si>
  <si>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</si>
  <si>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</si>
  <si>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</si>
  <si>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</si>
  <si>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</si>
  <si>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</si>
  <si>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</si>
  <si>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</si>
  <si>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</si>
  <si>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</si>
  <si>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</si>
  <si>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</si>
  <si>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</si>
  <si>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</si>
  <si>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</si>
  <si>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</si>
  <si>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</si>
  <si>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</si>
  <si>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</si>
  <si>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</si>
  <si>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</si>
  <si>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</si>
  <si>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</si>
  <si>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</si>
  <si>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</si>
  <si>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</si>
  <si>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</si>
  <si>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</si>
  <si>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</si>
  <si>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</si>
  <si>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</si>
  <si>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</si>
  <si>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</si>
  <si>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</si>
  <si>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</si>
  <si>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</si>
  <si>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</si>
  <si>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</si>
  <si>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</si>
  <si>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</si>
  <si>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</si>
  <si>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</si>
  <si>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</si>
  <si>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</si>
  <si>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</si>
  <si>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</si>
  <si>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</si>
  <si>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</si>
  <si>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</si>
  <si>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</si>
  <si>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</si>
  <si>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</si>
  <si>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</si>
  <si>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</si>
  <si>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</si>
  <si>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</si>
  <si>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</si>
  <si>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</si>
  <si>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</si>
  <si>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</si>
  <si>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</si>
  <si>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</si>
  <si>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</si>
  <si>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</si>
  <si>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</si>
  <si>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</si>
  <si>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</si>
  <si>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</si>
  <si>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</si>
  <si>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</si>
  <si>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</si>
  <si>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</si>
  <si>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</si>
  <si>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</si>
  <si>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</si>
  <si>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</si>
  <si>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</si>
  <si>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</si>
  <si>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</si>
  <si>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</si>
  <si>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</si>
  <si>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</si>
  <si>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</si>
  <si>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</si>
  <si>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</si>
  <si>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</si>
  <si>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</si>
  <si>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</si>
  <si>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</si>
  <si>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</si>
  <si>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</si>
  <si>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</si>
  <si>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</si>
  <si>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</si>
  <si>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</si>
  <si>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</si>
  <si>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</si>
  <si>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</si>
  <si>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</si>
  <si>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</si>
  <si>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</si>
  <si>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</si>
  <si>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</si>
  <si>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</si>
  <si>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</si>
  <si>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</si>
  <si>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</si>
  <si>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</si>
  <si>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</si>
  <si>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</si>
  <si>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</si>
  <si>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</si>
  <si>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</si>
  <si>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</si>
  <si>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</si>
  <si>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</si>
  <si>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</si>
  <si>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</si>
  <si>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</si>
  <si>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</si>
  <si>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</si>
  <si>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</si>
  <si>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</si>
  <si>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</si>
  <si>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</si>
  <si>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</si>
  <si>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</si>
  <si>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</si>
  <si>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</si>
  <si>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</si>
  <si>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</si>
  <si>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</si>
  <si>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</si>
  <si>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</si>
  <si>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</si>
  <si>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</si>
  <si>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</si>
  <si>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</si>
  <si>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</si>
  <si>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</si>
  <si>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</si>
  <si>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</si>
  <si>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</si>
  <si>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</si>
  <si>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</si>
  <si>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</si>
  <si>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</si>
  <si>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</si>
  <si>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</si>
  <si>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</si>
  <si>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</si>
  <si>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</si>
  <si>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</si>
  <si>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</si>
  <si>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</si>
  <si>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</si>
  <si>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</si>
  <si>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</si>
  <si>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</si>
  <si>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</si>
  <si>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</si>
  <si>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</si>
  <si>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</si>
  <si>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</si>
  <si>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</si>
  <si>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</si>
  <si>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</si>
  <si>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</si>
  <si>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</si>
  <si>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</si>
  <si>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</si>
  <si>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</si>
  <si>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</si>
  <si>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</si>
  <si>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</si>
  <si>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</si>
  <si>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</si>
  <si>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</si>
  <si>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</si>
  <si>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</si>
  <si>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</si>
  <si>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</si>
  <si>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</si>
  <si>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</si>
  <si>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</si>
  <si>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</si>
  <si>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</si>
  <si>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</si>
  <si>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</si>
  <si>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</si>
  <si>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</si>
  <si>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</si>
  <si>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</si>
  <si>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</si>
  <si>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</si>
  <si>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</si>
  <si>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</si>
  <si>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</si>
  <si>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</si>
  <si>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</si>
  <si>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</si>
  <si>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</si>
  <si>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</si>
  <si>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</si>
  <si>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</si>
  <si>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</si>
  <si>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</si>
  <si>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</si>
  <si>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</si>
  <si>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</si>
  <si>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</si>
  <si>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</si>
  <si>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</si>
  <si>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</si>
  <si>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</si>
  <si>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</si>
  <si>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</si>
  <si>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</si>
  <si>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</si>
  <si>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</si>
  <si>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</si>
  <si>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</si>
  <si>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</si>
  <si>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</si>
  <si>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</si>
  <si>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</si>
  <si>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</si>
  <si>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</si>
  <si>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</si>
  <si>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</si>
  <si>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</si>
  <si>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</si>
  <si>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</si>
  <si>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</si>
  <si>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</si>
  <si>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</si>
  <si>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</si>
  <si>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</si>
  <si>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</si>
  <si>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</si>
  <si>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</si>
  <si>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</si>
  <si>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</si>
  <si>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</si>
  <si>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</si>
  <si>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</si>
  <si>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</si>
  <si>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</si>
  <si>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</si>
  <si>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</si>
  <si>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</si>
  <si>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</si>
  <si>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</si>
  <si>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</si>
  <si>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</si>
  <si>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</si>
  <si>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</si>
  <si>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</si>
  <si>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</si>
  <si>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</si>
  <si>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</si>
  <si>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</si>
  <si>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</si>
  <si>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</si>
  <si>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</si>
  <si>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</si>
  <si>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</si>
  <si>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</si>
  <si>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</si>
  <si>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</si>
  <si>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</si>
  <si>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</si>
  <si>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</si>
  <si>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</si>
  <si>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</si>
  <si>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</si>
  <si>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</si>
  <si>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</si>
  <si>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</si>
  <si>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</si>
  <si>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</si>
  <si>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</si>
  <si>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</si>
  <si>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</si>
  <si>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</si>
  <si>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</si>
  <si>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</si>
  <si>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</si>
  <si>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</si>
  <si>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</si>
  <si>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</si>
  <si>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</si>
  <si>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</si>
  <si>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</si>
  <si>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</si>
  <si>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</si>
  <si>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</si>
  <si>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</si>
  <si>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</si>
  <si>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</si>
  <si>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</si>
  <si>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</si>
  <si>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</si>
  <si>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</si>
  <si>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</si>
  <si>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</si>
  <si>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</si>
  <si>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</si>
  <si>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</si>
  <si>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</si>
  <si>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</si>
  <si>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</si>
  <si>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</si>
  <si>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</si>
  <si>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</si>
  <si>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</si>
  <si>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</si>
  <si>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</si>
  <si>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</si>
  <si>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</si>
  <si>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</si>
  <si>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</si>
  <si>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</si>
  <si>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</si>
  <si>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</si>
  <si>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</si>
  <si>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</si>
  <si>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</si>
  <si>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Fund Activity Accounts</t>
  </si>
  <si>
    <t>Auxiliary Funds</t>
  </si>
  <si>
    <t>Unrestricted Funds</t>
  </si>
  <si>
    <t xml:space="preserve">Start up costs for new program RN to BSN. </t>
  </si>
  <si>
    <t>Start up costs for new program: RN to BSN</t>
  </si>
  <si>
    <t xml:space="preserve">The explanations for the above section apply to the estimates provided for this section with the exception of Post Secondary Vocational.  The College continues to experience an increase in out of state students who come to The Keys to study diving and marine programs. The result is an additional 3 FTE.  </t>
  </si>
  <si>
    <t xml:space="preserve">The College's budgeted numbers are based upon the College's fiscal year, not reporting year.  The 146.15% variance for the baccalaureate program equates to 19 FTE for a new BSN program that launches in 202010.  The AS nursing program is expected to increase due to a larger cohort plus a new AS in Emergency Medical Services Program and a new Paramedic offering. The Career Certificate and Applied Technology Diploma include increases in Institute of Public Safety academies yielding an additional 19 FTE.  The Developmental credit hours are forecast to have a small continued increase in FY 2020 - 2 FTE.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</si>
</sst>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76">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78" fillId="0" borderId="0" xfId="0" applyFont="1" applyAlignment="1" applyProtection="1">
      <alignment horizontal="left" wrapText="1"/>
    </xf>
    <xf numFmtId="0" fontId="85" fillId="0" borderId="0" xfId="0" applyFont="1" applyFill="1" applyAlignment="1" applyProtection="1">
      <alignment horizontal="left"/>
    </xf>
    <xf numFmtId="0" fontId="78" fillId="0" borderId="0" xfId="0" applyFont="1" applyFill="1" applyAlignment="1" applyProtection="1">
      <alignment horizontal="left" wrapText="1"/>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11" fillId="0" borderId="22" xfId="0" applyFont="1" applyFill="1" applyBorder="1" applyAlignment="1">
      <alignment horizontal="center" vertic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2" xfId="0" applyFont="1" applyBorder="1" applyAlignment="1">
      <alignment wrapText="1"/>
    </xf>
    <xf numFmtId="0" fontId="133" fillId="0" borderId="93"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81" fillId="30" borderId="70" xfId="0" applyFont="1" applyFill="1" applyBorder="1" applyAlignment="1">
      <alignment horizontal="centerContinuous"/>
    </xf>
    <xf numFmtId="0" fontId="81" fillId="30" borderId="86" xfId="0" applyFont="1" applyFill="1" applyBorder="1" applyAlignment="1">
      <alignment horizontal="centerContinuous"/>
    </xf>
    <xf numFmtId="0" fontId="81" fillId="30" borderId="127" xfId="0" applyFont="1" applyFill="1" applyBorder="1" applyAlignment="1">
      <alignment horizontal="centerContinuous"/>
    </xf>
    <xf numFmtId="49" fontId="79" fillId="32" borderId="73" xfId="0" applyNumberFormat="1" applyFont="1" applyFill="1" applyBorder="1" applyAlignment="1" applyProtection="1">
      <alignment horizontal="centerContinuous" vertical="top" wrapText="1"/>
      <protection locked="0"/>
    </xf>
    <xf numFmtId="49" fontId="79" fillId="32" borderId="77" xfId="0" applyNumberFormat="1" applyFont="1" applyFill="1" applyBorder="1" applyAlignment="1" applyProtection="1">
      <alignment horizontal="centerContinuous" vertical="top" wrapText="1"/>
      <protection locked="0"/>
    </xf>
    <xf numFmtId="49" fontId="79" fillId="32" borderId="78" xfId="0" applyNumberFormat="1" applyFont="1" applyFill="1" applyBorder="1" applyAlignment="1" applyProtection="1">
      <alignment horizontal="centerContinuous" vertical="top" wrapText="1"/>
      <protection locked="0"/>
    </xf>
    <xf numFmtId="49" fontId="79" fillId="32" borderId="71" xfId="0" applyNumberFormat="1" applyFont="1" applyFill="1" applyBorder="1" applyAlignment="1" applyProtection="1">
      <alignment horizontal="centerContinuous" vertical="center" wrapText="1"/>
      <protection locked="0"/>
    </xf>
    <xf numFmtId="49" fontId="79" fillId="32" borderId="79" xfId="0" applyNumberFormat="1" applyFont="1" applyFill="1" applyBorder="1" applyAlignment="1" applyProtection="1">
      <alignment horizontal="centerContinuous" vertical="center" wrapText="1"/>
      <protection locked="0"/>
    </xf>
    <xf numFmtId="49" fontId="79" fillId="32" borderId="80" xfId="0" applyNumberFormat="1" applyFont="1" applyFill="1" applyBorder="1" applyAlignment="1" applyProtection="1">
      <alignment horizontal="centerContinuous" vertical="center" wrapText="1"/>
      <protection locked="0"/>
    </xf>
    <xf numFmtId="49" fontId="79" fillId="32" borderId="72" xfId="0" applyNumberFormat="1" applyFont="1" applyFill="1" applyBorder="1" applyAlignment="1" applyProtection="1">
      <alignment horizontal="centerContinuous" vertical="center" wrapText="1"/>
      <protection locked="0"/>
    </xf>
    <xf numFmtId="49" fontId="79" fillId="32" borderId="0" xfId="0" applyNumberFormat="1" applyFont="1" applyFill="1" applyBorder="1" applyAlignment="1" applyProtection="1">
      <alignment horizontal="centerContinuous" vertical="center" wrapText="1"/>
      <protection locked="0"/>
    </xf>
    <xf numFmtId="49" fontId="79" fillId="32" borderId="76" xfId="0" applyNumberFormat="1" applyFont="1" applyFill="1" applyBorder="1" applyAlignment="1" applyProtection="1">
      <alignment horizontal="centerContinuous" vertical="center" wrapText="1"/>
      <protection locked="0"/>
    </xf>
    <xf numFmtId="0" fontId="82" fillId="0" borderId="0" xfId="0" applyFont="1" applyFill="1" applyAlignment="1" applyProtection="1">
      <alignment horizontal="centerContinuous" vertical="top" wrapText="1"/>
    </xf>
    <xf numFmtId="0" fontId="81" fillId="0" borderId="0" xfId="0" applyFont="1" applyFill="1" applyAlignment="1" applyProtection="1">
      <alignment horizontal="centerContinuous" vertical="top" wrapText="1"/>
    </xf>
    <xf numFmtId="0" fontId="81" fillId="0" borderId="0" xfId="0" applyFont="1" applyAlignment="1">
      <alignment horizontal="centerContinuous" vertical="top" wrapText="1"/>
    </xf>
    <xf numFmtId="0" fontId="111" fillId="0" borderId="188" xfId="0" applyFont="1" applyFill="1" applyBorder="1" applyAlignment="1"/>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applyAlignment="1">
      <alignment horizontal="center"/>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175" fillId="32" borderId="113" xfId="0" applyFont="1" applyFill="1" applyBorder="1" applyAlignment="1" applyProtection="1">
      <alignment horizontal="center"/>
      <protection locked="0"/>
    </xf>
    <xf numFmtId="0" fontId="79" fillId="34" borderId="155" xfId="0" applyFont="1" applyFill="1" applyBorder="1" applyAlignment="1">
      <alignment horizontal="center"/>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113" xfId="0" applyFont="1" applyFill="1" applyBorder="1" applyAlignment="1" applyProtection="1">
      <alignment horizontal="centerContinuous"/>
      <protection locked="0"/>
    </xf>
    <xf numFmtId="0" fontId="175" fillId="32" borderId="115" xfId="0" applyFont="1" applyFill="1" applyBorder="1" applyAlignment="1" applyProtection="1">
      <alignment horizontal="centerContinuous"/>
      <protection locked="0"/>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49" fontId="113" fillId="32" borderId="273" xfId="0" applyNumberFormat="1" applyFont="1" applyFill="1" applyBorder="1" applyAlignment="1" applyProtection="1">
      <alignment horizontal="centerContinuous" vertical="top" wrapText="1"/>
      <protection locked="0"/>
    </xf>
    <xf numFmtId="49" fontId="113" fillId="32" borderId="186" xfId="0" applyNumberFormat="1" applyFont="1" applyFill="1" applyBorder="1" applyAlignment="1" applyProtection="1">
      <alignment horizontal="centerContinuous" vertical="top" wrapText="1"/>
      <protection locked="0"/>
    </xf>
    <xf numFmtId="49" fontId="113" fillId="32" borderId="140" xfId="0" applyNumberFormat="1" applyFont="1" applyFill="1" applyBorder="1" applyAlignment="1" applyProtection="1">
      <alignment horizontal="centerContinuous" vertical="top" wrapText="1"/>
      <protection locked="0"/>
    </xf>
    <xf numFmtId="49" fontId="113" fillId="32" borderId="20" xfId="0" applyNumberFormat="1" applyFont="1" applyFill="1" applyBorder="1" applyAlignment="1" applyProtection="1">
      <alignment horizontal="centerContinuous" vertical="top" wrapText="1"/>
      <protection locked="0"/>
    </xf>
    <xf numFmtId="49" fontId="113" fillId="32" borderId="0" xfId="0" applyNumberFormat="1" applyFont="1" applyFill="1" applyBorder="1" applyAlignment="1" applyProtection="1">
      <alignment horizontal="centerContinuous" vertical="top" wrapText="1"/>
      <protection locked="0"/>
    </xf>
    <xf numFmtId="49" fontId="113" fillId="32" borderId="21" xfId="0" applyNumberFormat="1" applyFont="1" applyFill="1" applyBorder="1" applyAlignment="1" applyProtection="1">
      <alignment horizontal="centerContinuous" vertical="top" wrapText="1"/>
      <protection locked="0"/>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76" fillId="0" borderId="47" xfId="0" applyFont="1" applyBorder="1" applyAlignment="1">
      <alignment horizontal="centerContinuous" wrapText="1"/>
    </xf>
    <xf numFmtId="0" fontId="113" fillId="0" borderId="166" xfId="0" applyFont="1" applyBorder="1" applyAlignment="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71"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95"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1" fillId="0" borderId="112"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2" fillId="0" borderId="56"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5" fillId="27" borderId="120" xfId="663" applyFont="1" applyFill="1" applyBorder="1" applyAlignment="1" applyProtection="1">
      <alignment horizontal="centerContinuous" wrapText="1"/>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121" fillId="0" borderId="0" xfId="0" applyFont="1" applyAlignment="1">
      <alignment horizontal="centerContinuous"/>
    </xf>
    <xf numFmtId="0" fontId="120" fillId="0" borderId="0" xfId="663" applyFont="1" applyAlignment="1">
      <alignment horizontal="centerContinuous"/>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79" fillId="0" borderId="0" xfId="0" applyFont="1" applyAlignment="1">
      <alignment horizontal="centerContinuous" wrapText="1"/>
    </xf>
    <xf numFmtId="49" fontId="113" fillId="32" borderId="71" xfId="0" applyNumberFormat="1" applyFont="1" applyFill="1" applyBorder="1" applyAlignment="1" applyProtection="1">
      <alignment horizontal="centerContinuous" vertical="top" wrapText="1"/>
      <protection locked="0"/>
    </xf>
    <xf numFmtId="49" fontId="113" fillId="32" borderId="79" xfId="0" applyNumberFormat="1" applyFont="1" applyFill="1" applyBorder="1" applyAlignment="1" applyProtection="1">
      <alignment horizontal="centerContinuous" vertical="top" wrapText="1"/>
      <protection locked="0"/>
    </xf>
    <xf numFmtId="49" fontId="113" fillId="32" borderId="80" xfId="0" applyNumberFormat="1" applyFont="1" applyFill="1" applyBorder="1" applyAlignment="1" applyProtection="1">
      <alignment horizontal="centerContinuous" vertical="top" wrapText="1"/>
      <protection locked="0"/>
    </xf>
    <xf numFmtId="0" fontId="82" fillId="0" borderId="0" xfId="0" applyFont="1" applyAlignment="1" applyProtection="1">
      <alignment horizontal="centerContinuous"/>
    </xf>
    <xf numFmtId="0" fontId="78" fillId="0" borderId="0" xfId="0" applyFont="1" applyBorder="1" applyAlignment="1">
      <alignment horizontal="centerContinuous"/>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152400</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438150</xdr:colOff>
          <xdr:row>48</xdr:row>
          <xdr:rowOff>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7" t="s">
        <v>277</v>
      </c>
      <c r="B1" s="1307"/>
      <c r="C1" s="1307"/>
      <c r="D1" s="1307"/>
      <c r="E1" s="1307"/>
    </row>
    <row r="2" spans="1:5" ht="23.25">
      <c r="A2" s="1307" t="s">
        <v>524</v>
      </c>
      <c r="B2" s="1307"/>
      <c r="C2" s="1307"/>
      <c r="D2" s="1307"/>
      <c r="E2" s="1307"/>
    </row>
    <row r="3" spans="1:5" ht="23.25">
      <c r="A3" s="1307" t="s">
        <v>443</v>
      </c>
      <c r="B3" s="1307"/>
      <c r="C3" s="1307"/>
      <c r="D3" s="1307"/>
      <c r="E3" s="1307"/>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8" t="s">
        <v>515</v>
      </c>
      <c r="B10" s="21"/>
      <c r="C10" s="23" t="s">
        <v>507</v>
      </c>
      <c r="D10" s="24"/>
      <c r="E10" s="20" t="s">
        <v>517</v>
      </c>
    </row>
    <row r="11" spans="1:5" s="5" customFormat="1" ht="20.100000000000001" customHeight="1">
      <c r="A11" s="1308"/>
      <c r="B11" s="21"/>
      <c r="C11" s="21"/>
      <c r="D11" s="24"/>
      <c r="E11" s="21"/>
    </row>
    <row r="12" spans="1:5" ht="20.100000000000001" customHeight="1">
      <c r="A12" s="25"/>
      <c r="B12" s="25"/>
      <c r="C12" s="25"/>
      <c r="D12" s="26"/>
      <c r="E12" s="25"/>
    </row>
    <row r="13" spans="1:5" ht="20.100000000000001" customHeight="1">
      <c r="A13" s="1309" t="s">
        <v>519</v>
      </c>
      <c r="B13" s="25"/>
      <c r="C13" s="25"/>
      <c r="D13" s="26"/>
      <c r="E13" s="25"/>
    </row>
    <row r="14" spans="1:5" ht="20.100000000000001" customHeight="1">
      <c r="A14" s="1309"/>
      <c r="B14" s="25"/>
      <c r="C14" s="25"/>
      <c r="D14" s="25"/>
      <c r="E14" s="25"/>
    </row>
    <row r="15" spans="1:5" ht="20.100000000000001" customHeight="1">
      <c r="A15" s="1309"/>
      <c r="B15" s="25"/>
      <c r="C15" s="25"/>
      <c r="D15" s="25"/>
      <c r="E15" s="25"/>
    </row>
    <row r="16" spans="1:5" ht="20.100000000000001" customHeight="1">
      <c r="A16" s="1309"/>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I13" sqref="I13"/>
    </sheetView>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1255"/>
      <c r="B1" s="1255"/>
      <c r="C1" s="1255"/>
      <c r="D1" s="1255"/>
      <c r="E1" s="1256" t="s">
        <v>198</v>
      </c>
      <c r="F1" s="655"/>
    </row>
    <row r="2" spans="1:8" ht="24" customHeight="1">
      <c r="A2" s="1255"/>
      <c r="B2" s="1255"/>
      <c r="C2" s="1255"/>
      <c r="D2" s="1255"/>
      <c r="E2" s="1257"/>
      <c r="F2" s="655"/>
    </row>
    <row r="3" spans="1:8" ht="24" customHeight="1" thickBot="1">
      <c r="A3" s="1249" t="s">
        <v>15</v>
      </c>
      <c r="B3" s="1226" t="str">
        <f>'CHECK SHEET'!D7</f>
        <v>Florida Keys Community College</v>
      </c>
      <c r="C3" s="1226"/>
      <c r="D3" s="1226"/>
      <c r="E3" s="1226"/>
      <c r="F3" s="657"/>
      <c r="G3" s="651"/>
    </row>
    <row r="4" spans="1:8" ht="24" customHeight="1">
      <c r="A4" s="1222" t="s">
        <v>199</v>
      </c>
      <c r="B4" s="1222"/>
      <c r="C4" s="1222"/>
      <c r="D4" s="1222"/>
      <c r="E4" s="1222"/>
      <c r="F4" s="695"/>
    </row>
    <row r="5" spans="1:8" ht="24" customHeight="1">
      <c r="A5" s="1222" t="s">
        <v>200</v>
      </c>
      <c r="B5" s="1222"/>
      <c r="C5" s="1222"/>
      <c r="D5" s="1222"/>
      <c r="E5" s="1222"/>
      <c r="F5" s="695"/>
    </row>
    <row r="6" spans="1:8" ht="24" customHeight="1">
      <c r="A6" s="1256" t="s">
        <v>780</v>
      </c>
      <c r="B6" s="1256"/>
      <c r="C6" s="1256"/>
      <c r="D6" s="1256"/>
      <c r="E6" s="1256"/>
      <c r="F6" s="696"/>
    </row>
    <row r="7" spans="1:8" ht="20.100000000000001" customHeight="1">
      <c r="A7" s="1253"/>
      <c r="B7" s="1253"/>
      <c r="C7" s="1253"/>
      <c r="D7" s="1254"/>
      <c r="E7" s="1254"/>
      <c r="F7" s="650"/>
    </row>
    <row r="8" spans="1:8" ht="24" customHeight="1" thickBot="1">
      <c r="A8" s="1149" t="s">
        <v>668</v>
      </c>
      <c r="B8" s="1149"/>
      <c r="C8" s="1149"/>
      <c r="D8" s="650"/>
      <c r="E8" s="650"/>
      <c r="F8" s="650"/>
      <c r="H8" s="652"/>
    </row>
    <row r="9" spans="1:8" s="50" customFormat="1" ht="64.150000000000006" customHeight="1" thickBot="1">
      <c r="A9" s="548" t="s">
        <v>201</v>
      </c>
      <c r="B9" s="1112" t="s">
        <v>659</v>
      </c>
      <c r="C9" s="586" t="s">
        <v>660</v>
      </c>
      <c r="D9" s="586" t="s">
        <v>658</v>
      </c>
      <c r="E9" s="691" t="s">
        <v>2</v>
      </c>
      <c r="F9" s="697"/>
      <c r="H9" s="688"/>
    </row>
    <row r="10" spans="1:8" s="50" customFormat="1" ht="19.899999999999999" customHeight="1">
      <c r="A10" s="718" t="s">
        <v>675</v>
      </c>
      <c r="B10" s="856">
        <v>4019588</v>
      </c>
      <c r="C10" s="857">
        <v>654983</v>
      </c>
      <c r="D10" s="857">
        <v>28887</v>
      </c>
      <c r="E10" s="719">
        <f>SUM(B10:D10)</f>
        <v>4703458</v>
      </c>
      <c r="F10" s="689"/>
      <c r="G10" s="688"/>
    </row>
    <row r="11" spans="1:8" s="50" customFormat="1" ht="19.899999999999999" customHeight="1">
      <c r="A11" s="718" t="s">
        <v>202</v>
      </c>
      <c r="B11" s="858">
        <v>0</v>
      </c>
      <c r="C11" s="845">
        <v>0</v>
      </c>
      <c r="D11" s="845">
        <v>0</v>
      </c>
      <c r="E11" s="720">
        <v>0</v>
      </c>
      <c r="F11" s="689"/>
      <c r="G11" s="688"/>
      <c r="H11" s="688"/>
    </row>
    <row r="12" spans="1:8" s="50" customFormat="1" ht="19.899999999999999" customHeight="1" thickBot="1">
      <c r="A12" s="718" t="s">
        <v>203</v>
      </c>
      <c r="B12" s="858">
        <v>0</v>
      </c>
      <c r="C12" s="845">
        <v>0</v>
      </c>
      <c r="D12" s="845">
        <v>0</v>
      </c>
      <c r="E12" s="720">
        <f>SUM(B12:D12)</f>
        <v>0</v>
      </c>
      <c r="F12" s="689"/>
    </row>
    <row r="13" spans="1:8" s="50" customFormat="1" ht="19.899999999999999" customHeight="1" thickBot="1">
      <c r="A13" s="718" t="s">
        <v>209</v>
      </c>
      <c r="B13" s="721"/>
      <c r="C13" s="722"/>
      <c r="D13" s="722"/>
      <c r="E13" s="723"/>
      <c r="F13" s="689"/>
    </row>
    <row r="14" spans="1:8" s="50" customFormat="1" ht="19.899999999999999" customHeight="1">
      <c r="A14" s="718" t="s">
        <v>211</v>
      </c>
      <c r="B14" s="858">
        <v>1612911</v>
      </c>
      <c r="C14" s="859">
        <v>179833</v>
      </c>
      <c r="D14" s="859">
        <v>0</v>
      </c>
      <c r="E14" s="720">
        <f t="shared" ref="E14:E20" si="0">SUM(B14:D14)</f>
        <v>1792744</v>
      </c>
      <c r="F14" s="689"/>
    </row>
    <row r="15" spans="1:8" s="50" customFormat="1" ht="19.899999999999999" customHeight="1">
      <c r="A15" s="718" t="s">
        <v>210</v>
      </c>
      <c r="B15" s="858">
        <v>0</v>
      </c>
      <c r="C15" s="845">
        <v>146440</v>
      </c>
      <c r="D15" s="845">
        <v>0</v>
      </c>
      <c r="E15" s="720">
        <f>SUM(B15:D15)</f>
        <v>146440</v>
      </c>
      <c r="F15" s="689"/>
    </row>
    <row r="16" spans="1:8" s="50" customFormat="1" ht="19.899999999999999" customHeight="1">
      <c r="A16" s="718" t="s">
        <v>204</v>
      </c>
      <c r="B16" s="858">
        <v>1002432</v>
      </c>
      <c r="C16" s="845">
        <v>42980</v>
      </c>
      <c r="D16" s="845">
        <v>1190</v>
      </c>
      <c r="E16" s="720">
        <f t="shared" si="0"/>
        <v>1046602</v>
      </c>
      <c r="F16" s="689"/>
    </row>
    <row r="17" spans="1:6" s="50" customFormat="1" ht="19.899999999999999" customHeight="1">
      <c r="A17" s="718" t="s">
        <v>205</v>
      </c>
      <c r="B17" s="858">
        <v>2167971</v>
      </c>
      <c r="C17" s="845">
        <v>1081384</v>
      </c>
      <c r="D17" s="845">
        <v>52100</v>
      </c>
      <c r="E17" s="720">
        <f t="shared" si="0"/>
        <v>3301455</v>
      </c>
      <c r="F17" s="689"/>
    </row>
    <row r="18" spans="1:6" s="50" customFormat="1" ht="19.899999999999999" customHeight="1">
      <c r="A18" s="718" t="s">
        <v>206</v>
      </c>
      <c r="B18" s="858">
        <v>373492</v>
      </c>
      <c r="C18" s="845">
        <v>1323625</v>
      </c>
      <c r="D18" s="845">
        <v>0</v>
      </c>
      <c r="E18" s="720">
        <f t="shared" si="0"/>
        <v>1697117</v>
      </c>
      <c r="F18" s="689"/>
    </row>
    <row r="19" spans="1:6" s="50" customFormat="1" ht="19.899999999999999" customHeight="1">
      <c r="A19" s="718" t="s">
        <v>207</v>
      </c>
      <c r="B19" s="858">
        <v>0</v>
      </c>
      <c r="C19" s="845">
        <v>0</v>
      </c>
      <c r="D19" s="845">
        <v>0</v>
      </c>
      <c r="E19" s="720">
        <f t="shared" si="0"/>
        <v>0</v>
      </c>
      <c r="F19" s="689"/>
    </row>
    <row r="20" spans="1:6" s="50" customFormat="1" ht="19.899999999999999" customHeight="1" thickBot="1">
      <c r="A20" s="718" t="s">
        <v>208</v>
      </c>
      <c r="B20" s="858">
        <v>0</v>
      </c>
      <c r="C20" s="846">
        <v>0</v>
      </c>
      <c r="D20" s="846">
        <v>0</v>
      </c>
      <c r="E20" s="720">
        <f t="shared" si="0"/>
        <v>0</v>
      </c>
      <c r="F20" s="689"/>
    </row>
    <row r="21" spans="1:6" s="50" customFormat="1" ht="24" customHeight="1" thickBot="1">
      <c r="A21" s="561" t="s">
        <v>2</v>
      </c>
      <c r="B21" s="690">
        <f>SUM(B10:B20)</f>
        <v>9176394</v>
      </c>
      <c r="C21" s="693">
        <f>SUM(C10:C20)</f>
        <v>3429245</v>
      </c>
      <c r="D21" s="693">
        <f>SUM(D10:D20)</f>
        <v>82177</v>
      </c>
      <c r="E21" s="692">
        <f>SUM(E10:E20)</f>
        <v>12687816</v>
      </c>
      <c r="F21" s="689"/>
    </row>
    <row r="22" spans="1:6" ht="24" customHeight="1">
      <c r="A22" s="650"/>
      <c r="B22" s="654"/>
      <c r="C22" s="650"/>
      <c r="D22" s="650"/>
      <c r="E22" s="650"/>
      <c r="F22" s="653"/>
    </row>
    <row r="23" spans="1:6" ht="24" customHeight="1">
      <c r="A23" s="650"/>
      <c r="B23" s="650"/>
      <c r="C23" s="650"/>
      <c r="D23" s="650"/>
      <c r="E23" s="650"/>
      <c r="F23" s="653"/>
    </row>
    <row r="24" spans="1:6">
      <c r="A24" s="650"/>
      <c r="B24" s="650"/>
      <c r="C24" s="650"/>
      <c r="D24" s="650"/>
      <c r="E24" s="650"/>
      <c r="F24" s="653"/>
    </row>
    <row r="25" spans="1:6">
      <c r="A25" s="650"/>
      <c r="B25" s="650"/>
      <c r="C25" s="650"/>
      <c r="D25" s="650"/>
      <c r="E25" s="650"/>
      <c r="F25" s="653"/>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5">
        <f>SUM(C91:C95)</f>
        <v>0</v>
      </c>
      <c r="D96" s="645">
        <f>SUM(D91:D95)</f>
        <v>0</v>
      </c>
    </row>
  </sheetData>
  <sheetProtection algorithmName="SHA-512" hashValue="KJL7xicH7GC4R7+it24WyCfKmieAf85NTn6HY6slN9tmEPWBTDqq+pPGlMqlouxKOvZClhibFE5slhvIddxo/Q==" saltValue="DkkOq2lKkroKt8YxQDzhn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6"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sqref="A1:J1"/>
    </sheetView>
  </sheetViews>
  <sheetFormatPr defaultRowHeight="12.75"/>
  <cols>
    <col min="1" max="1" width="78.7109375" style="319" customWidth="1"/>
    <col min="2" max="16384" width="9.140625" style="319"/>
  </cols>
  <sheetData>
    <row r="1" spans="1:7" ht="25.9" customHeight="1">
      <c r="A1" s="966" t="s">
        <v>661</v>
      </c>
      <c r="B1" s="965"/>
      <c r="C1" s="965"/>
      <c r="D1" s="965"/>
      <c r="E1" s="965"/>
      <c r="F1" s="965"/>
      <c r="G1" s="965"/>
    </row>
    <row r="2" spans="1:7" ht="26.25">
      <c r="A2" s="943" t="s">
        <v>662</v>
      </c>
      <c r="B2" s="965"/>
    </row>
    <row r="3" spans="1:7" ht="25.9" customHeight="1">
      <c r="A3" s="942" t="s">
        <v>736</v>
      </c>
      <c r="B3" s="96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_x000a_This is a PDF attachment.  It is Exhibit F which is a sample letter to be submitted if the unencumbered balance in the general fund of the approved operating budget goes below 5 percent._x000a_" r:id="rId5">
            <anchor moveWithCells="1">
              <from>
                <xdr:col>0</xdr:col>
                <xdr:colOff>0</xdr:colOff>
                <xdr:row>3</xdr:row>
                <xdr:rowOff>0</xdr:rowOff>
              </from>
              <to>
                <xdr:col>1</xdr:col>
                <xdr:colOff>438150</xdr:colOff>
                <xdr:row>48</xdr:row>
                <xdr:rowOff>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40" zoomScaleNormal="40" zoomScaleSheetLayoutView="50" workbookViewId="0">
      <selection activeCell="O84" sqref="O83:O84"/>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376" t="s">
        <v>15</v>
      </c>
      <c r="B1" s="1170" t="str">
        <f>'CHECK SHEET'!D7</f>
        <v>Florida Keys Community College</v>
      </c>
      <c r="C1" s="1170"/>
      <c r="D1" s="1170"/>
      <c r="E1" s="1170"/>
      <c r="F1" s="1170"/>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258" t="s">
        <v>512</v>
      </c>
      <c r="B2" s="1258"/>
      <c r="C2" s="1258"/>
      <c r="D2" s="1258"/>
      <c r="E2" s="1258"/>
      <c r="F2" s="1258"/>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259" t="s">
        <v>570</v>
      </c>
      <c r="B3" s="1259"/>
      <c r="C3" s="1259"/>
      <c r="D3" s="1259"/>
      <c r="E3" s="1259"/>
      <c r="F3" s="1259"/>
    </row>
    <row r="4" spans="1:224" ht="30" customHeight="1">
      <c r="A4" s="1258" t="s">
        <v>780</v>
      </c>
      <c r="B4" s="1258"/>
      <c r="C4" s="1258"/>
      <c r="D4" s="1258"/>
      <c r="E4" s="1258"/>
      <c r="F4" s="125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258"/>
      <c r="B5" s="1258"/>
      <c r="C5" s="1258"/>
      <c r="D5" s="1258"/>
      <c r="E5" s="1258"/>
      <c r="F5" s="125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68" t="s">
        <v>668</v>
      </c>
      <c r="B7" s="1169"/>
      <c r="C7" s="1160" t="s">
        <v>741</v>
      </c>
      <c r="D7" s="1161"/>
      <c r="E7" s="1161"/>
      <c r="F7" s="1162"/>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260" t="s">
        <v>509</v>
      </c>
      <c r="B8" s="1261"/>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58" t="s">
        <v>103</v>
      </c>
      <c r="B9" s="1165"/>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0">
        <v>0</v>
      </c>
      <c r="E10" s="860">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1">
        <v>0</v>
      </c>
      <c r="E11" s="861">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1">
        <v>0</v>
      </c>
      <c r="E12" s="861">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1">
        <v>0</v>
      </c>
      <c r="E13" s="861">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1">
        <v>0</v>
      </c>
      <c r="E14" s="861">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1">
        <f>65120+65120</f>
        <v>130240</v>
      </c>
      <c r="E15" s="861">
        <v>0</v>
      </c>
      <c r="F15" s="413">
        <f t="shared" si="0"/>
        <v>130240</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1">
        <f>6000+3636</f>
        <v>9636</v>
      </c>
      <c r="E16" s="861">
        <v>0</v>
      </c>
      <c r="F16" s="413">
        <f t="shared" si="0"/>
        <v>9636</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1">
        <v>0</v>
      </c>
      <c r="E17" s="861">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1">
        <v>0</v>
      </c>
      <c r="E18" s="861">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1">
        <v>0</v>
      </c>
      <c r="E19" s="861">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1">
        <v>0</v>
      </c>
      <c r="E20" s="861">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1">
        <v>0</v>
      </c>
      <c r="E21" s="861">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1">
        <v>0</v>
      </c>
      <c r="E22" s="861">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1">
        <v>0</v>
      </c>
      <c r="E23" s="861">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1">
        <v>0</v>
      </c>
      <c r="E24" s="861">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1">
        <v>34536</v>
      </c>
      <c r="E25" s="861">
        <v>0</v>
      </c>
      <c r="F25" s="413">
        <f t="shared" si="0"/>
        <v>34536</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1">
        <v>0</v>
      </c>
      <c r="E26" s="861">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1">
        <v>0</v>
      </c>
      <c r="E27" s="861">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1">
        <v>0</v>
      </c>
      <c r="E28" s="861">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1">
        <v>0</v>
      </c>
      <c r="E29" s="861">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1">
        <v>0</v>
      </c>
      <c r="E30" s="861">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1">
        <v>0</v>
      </c>
      <c r="E31" s="861">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1">
        <v>0</v>
      </c>
      <c r="E32" s="861">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1">
        <v>0</v>
      </c>
      <c r="E33" s="861">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1">
        <f>16362+19392</f>
        <v>35754</v>
      </c>
      <c r="E34" s="861">
        <v>0</v>
      </c>
      <c r="F34" s="413">
        <f t="shared" si="0"/>
        <v>35754</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1">
        <v>0</v>
      </c>
      <c r="E35" s="861">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1">
        <v>0</v>
      </c>
      <c r="E36" s="861">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1">
        <v>0</v>
      </c>
      <c r="E37" s="861">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1">
        <v>0</v>
      </c>
      <c r="E38" s="861">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1">
        <v>0</v>
      </c>
      <c r="E39" s="861">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1">
        <v>0</v>
      </c>
      <c r="E40" s="861">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1">
        <v>0</v>
      </c>
      <c r="E41" s="861">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1">
        <v>0</v>
      </c>
      <c r="E42" s="861">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1">
        <v>0</v>
      </c>
      <c r="E43" s="861">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1">
        <v>0</v>
      </c>
      <c r="E44" s="861">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1">
        <v>0</v>
      </c>
      <c r="E45" s="861">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1">
        <v>0</v>
      </c>
      <c r="E46" s="861">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1">
        <v>0</v>
      </c>
      <c r="E47" s="861">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1">
        <f>5424+1268+7606+1779</f>
        <v>16077</v>
      </c>
      <c r="E48" s="861">
        <v>0</v>
      </c>
      <c r="F48" s="413">
        <f t="shared" si="0"/>
        <v>16077</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1">
        <f>6024+10391</f>
        <v>16415</v>
      </c>
      <c r="E49" s="861">
        <v>0</v>
      </c>
      <c r="F49" s="413">
        <f t="shared" si="0"/>
        <v>16415</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1">
        <v>0</v>
      </c>
      <c r="E50" s="861">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1">
        <v>0</v>
      </c>
      <c r="E51" s="861">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1">
        <v>0</v>
      </c>
      <c r="E52" s="861">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1">
        <v>0</v>
      </c>
      <c r="E53" s="861">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1">
        <f>10644+94+15967+178</f>
        <v>26883</v>
      </c>
      <c r="E54" s="861">
        <v>0</v>
      </c>
      <c r="F54" s="413">
        <f t="shared" si="0"/>
        <v>26883</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1">
        <v>0</v>
      </c>
      <c r="E55" s="861">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1">
        <v>0</v>
      </c>
      <c r="E56" s="862">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269541</v>
      </c>
      <c r="E57" s="468">
        <f>SUM(E10:E56)</f>
        <v>0</v>
      </c>
      <c r="F57" s="468">
        <f t="shared" si="0"/>
        <v>269541</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0" t="str">
        <f>C7</f>
        <v>2019-20</v>
      </c>
      <c r="D61" s="1161"/>
      <c r="E61" s="1161"/>
      <c r="F61" s="1162"/>
      <c r="G61" s="406"/>
      <c r="H61" s="407"/>
      <c r="I61" s="407"/>
      <c r="J61" s="407"/>
      <c r="K61" s="407"/>
      <c r="L61" s="407"/>
      <c r="M61" s="407"/>
      <c r="N61" s="407"/>
      <c r="O61" s="407"/>
      <c r="P61" s="407"/>
      <c r="Q61" s="407"/>
      <c r="R61" s="408"/>
      <c r="S61" s="408"/>
      <c r="T61" s="408"/>
      <c r="U61" s="408"/>
    </row>
    <row r="62" spans="1:21" s="409" customFormat="1" ht="111.6" customHeight="1" thickBot="1">
      <c r="A62" s="1260" t="s">
        <v>509</v>
      </c>
      <c r="B62" s="1261"/>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66" t="s">
        <v>12</v>
      </c>
      <c r="B63" s="1167"/>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0">
        <v>50</v>
      </c>
      <c r="E64" s="860">
        <v>0</v>
      </c>
      <c r="F64" s="405">
        <f t="shared" si="0"/>
        <v>50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1">
        <v>0</v>
      </c>
      <c r="E65" s="863">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1">
        <v>0</v>
      </c>
      <c r="E66" s="863">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1">
        <v>0</v>
      </c>
      <c r="E67" s="863">
        <v>0</v>
      </c>
      <c r="F67" s="432">
        <f t="shared" si="0"/>
        <v>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1">
        <v>0</v>
      </c>
      <c r="E68" s="863">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1">
        <v>0</v>
      </c>
      <c r="E69" s="863">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1">
        <v>0</v>
      </c>
      <c r="E70" s="863">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1">
        <v>0</v>
      </c>
      <c r="E71" s="863">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1">
        <v>0</v>
      </c>
      <c r="E72" s="863">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1">
        <v>0</v>
      </c>
      <c r="E73" s="863">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1">
        <v>0</v>
      </c>
      <c r="E74" s="863">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1">
        <v>0</v>
      </c>
      <c r="E75" s="863">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1">
        <v>0</v>
      </c>
      <c r="E76" s="863">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1">
        <v>0</v>
      </c>
      <c r="E77" s="863">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1">
        <v>0</v>
      </c>
      <c r="E78" s="863">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1">
        <v>75</v>
      </c>
      <c r="E79" s="863">
        <v>0</v>
      </c>
      <c r="F79" s="432">
        <f t="shared" si="0"/>
        <v>75</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1">
        <v>0</v>
      </c>
      <c r="E80" s="863">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1">
        <v>0</v>
      </c>
      <c r="E81" s="863">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1">
        <v>0</v>
      </c>
      <c r="E82" s="863">
        <v>0</v>
      </c>
      <c r="F82" s="432">
        <f t="shared" si="1"/>
        <v>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1">
        <v>175</v>
      </c>
      <c r="E83" s="863">
        <v>0</v>
      </c>
      <c r="F83" s="432">
        <f t="shared" si="1"/>
        <v>175</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1">
        <v>0</v>
      </c>
      <c r="E84" s="863">
        <v>0</v>
      </c>
      <c r="F84" s="432">
        <f t="shared" si="1"/>
        <v>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1">
        <v>0</v>
      </c>
      <c r="E85" s="863">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1">
        <v>0</v>
      </c>
      <c r="E86" s="863">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1">
        <v>0</v>
      </c>
      <c r="E87" s="863">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1">
        <v>0</v>
      </c>
      <c r="E88" s="863">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1">
        <v>0</v>
      </c>
      <c r="E89" s="863">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1">
        <v>0</v>
      </c>
      <c r="E90" s="863">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1">
        <v>0</v>
      </c>
      <c r="E91" s="863">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1">
        <v>0</v>
      </c>
      <c r="E92" s="863">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1">
        <v>0</v>
      </c>
      <c r="E93" s="863">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1">
        <v>0</v>
      </c>
      <c r="E94" s="863">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1">
        <v>0</v>
      </c>
      <c r="E95" s="863">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1">
        <v>0</v>
      </c>
      <c r="E96" s="863">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1">
        <v>0</v>
      </c>
      <c r="E97" s="863">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1">
        <v>0</v>
      </c>
      <c r="E98" s="863">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1">
        <v>0</v>
      </c>
      <c r="E99" s="863">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1">
        <v>0</v>
      </c>
      <c r="E100" s="863">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1">
        <v>0</v>
      </c>
      <c r="E101" s="863">
        <v>0</v>
      </c>
      <c r="F101" s="436">
        <f t="shared" si="1"/>
        <v>0</v>
      </c>
      <c r="G101" s="406"/>
      <c r="H101" s="406"/>
      <c r="I101" s="406"/>
      <c r="J101" s="406"/>
      <c r="K101" s="406"/>
      <c r="L101" s="406"/>
      <c r="M101" s="406"/>
      <c r="N101" s="406"/>
      <c r="O101" s="406"/>
      <c r="P101" s="406"/>
      <c r="Q101" s="406"/>
    </row>
    <row r="102" spans="1:17" s="409" customFormat="1" ht="30" customHeight="1" thickBot="1">
      <c r="A102" s="1163" t="s">
        <v>179</v>
      </c>
      <c r="B102" s="1164"/>
      <c r="C102" s="471"/>
      <c r="D102" s="469">
        <f>SUM(D64:D101)</f>
        <v>300</v>
      </c>
      <c r="E102" s="469">
        <f>SUM(E64:E101)</f>
        <v>0</v>
      </c>
      <c r="F102" s="469">
        <f t="shared" si="1"/>
        <v>300</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0" t="str">
        <f>C7</f>
        <v>2019-20</v>
      </c>
      <c r="D105" s="1161"/>
      <c r="E105" s="1161"/>
      <c r="F105" s="1162"/>
      <c r="G105" s="406"/>
      <c r="H105" s="406"/>
      <c r="I105" s="406"/>
      <c r="J105" s="406"/>
      <c r="K105" s="406"/>
      <c r="L105" s="406"/>
      <c r="M105" s="406"/>
      <c r="N105" s="406"/>
      <c r="O105" s="406"/>
      <c r="P105" s="406"/>
      <c r="Q105" s="406"/>
    </row>
    <row r="106" spans="1:17" s="409" customFormat="1" ht="111.6" customHeight="1" thickBot="1">
      <c r="A106" s="1271" t="s">
        <v>13</v>
      </c>
      <c r="B106" s="1272"/>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0">
        <v>2100</v>
      </c>
      <c r="E107" s="860">
        <v>0</v>
      </c>
      <c r="F107" s="405">
        <f t="shared" si="1"/>
        <v>2100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1">
        <v>0</v>
      </c>
      <c r="E108" s="861">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1">
        <v>0</v>
      </c>
      <c r="E109" s="861">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1">
        <v>0</v>
      </c>
      <c r="E110" s="861">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1">
        <v>0</v>
      </c>
      <c r="E111" s="861">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1">
        <v>0</v>
      </c>
      <c r="E112" s="861">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1">
        <v>0</v>
      </c>
      <c r="E113" s="861">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1">
        <v>0</v>
      </c>
      <c r="E114" s="861">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1">
        <v>0</v>
      </c>
      <c r="E115" s="861">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2">
        <v>0</v>
      </c>
      <c r="E116" s="862">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2100</v>
      </c>
      <c r="E117" s="474">
        <f>SUM(E107:E116)</f>
        <v>0</v>
      </c>
      <c r="F117" s="474">
        <f>SUM(D117:E117)</f>
        <v>2100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63" t="s">
        <v>235</v>
      </c>
      <c r="B119" s="1164"/>
      <c r="C119" s="456"/>
      <c r="D119" s="469">
        <f>+D57+D102+D117</f>
        <v>271941</v>
      </c>
      <c r="E119" s="469">
        <f>+E57+E102+E117</f>
        <v>0</v>
      </c>
      <c r="F119" s="469">
        <f>SUM(D119:E119)</f>
        <v>271941</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76" customFormat="1" ht="30" customHeight="1" thickBot="1">
      <c r="A121" s="35"/>
      <c r="B121" s="35"/>
      <c r="C121" s="35"/>
      <c r="D121" s="35"/>
      <c r="E121" s="35"/>
      <c r="F121" s="35"/>
    </row>
    <row r="122" spans="1:17" s="409" customFormat="1" ht="116.45" customHeight="1" thickBot="1">
      <c r="A122" s="1262" t="s">
        <v>506</v>
      </c>
      <c r="B122" s="1263"/>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0">
        <v>0</v>
      </c>
      <c r="E123" s="860">
        <v>0</v>
      </c>
      <c r="F123" s="865">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4">
        <f>'EXHIBIT C'!H10</f>
        <v>88118</v>
      </c>
      <c r="E124" s="861">
        <v>0</v>
      </c>
      <c r="F124" s="413">
        <f t="shared" ref="F124:F134" si="3">+D124+E124</f>
        <v>88118</v>
      </c>
      <c r="G124" s="462"/>
      <c r="H124" s="462"/>
      <c r="I124" s="462"/>
      <c r="J124" s="462"/>
      <c r="K124" s="462"/>
      <c r="L124" s="462"/>
      <c r="M124" s="462"/>
      <c r="N124" s="462"/>
      <c r="O124" s="462"/>
      <c r="P124" s="462"/>
      <c r="Q124" s="462"/>
    </row>
    <row r="125" spans="1:17" s="463" customFormat="1" ht="30" customHeight="1">
      <c r="A125" s="410" t="s">
        <v>573</v>
      </c>
      <c r="B125" s="464"/>
      <c r="C125" s="465"/>
      <c r="D125" s="864">
        <f>'EXHIBIT C'!F19</f>
        <v>0</v>
      </c>
      <c r="E125" s="861">
        <v>0</v>
      </c>
      <c r="F125" s="413">
        <f t="shared" si="3"/>
        <v>0</v>
      </c>
      <c r="G125" s="462"/>
      <c r="H125" s="462"/>
      <c r="I125" s="462"/>
      <c r="J125" s="462"/>
      <c r="K125" s="462"/>
      <c r="L125" s="462"/>
      <c r="M125" s="462"/>
      <c r="N125" s="462"/>
      <c r="O125" s="462"/>
      <c r="P125" s="462"/>
      <c r="Q125" s="462"/>
    </row>
    <row r="126" spans="1:17" s="463" customFormat="1" ht="30" customHeight="1">
      <c r="A126" s="410" t="s">
        <v>270</v>
      </c>
      <c r="B126" s="464"/>
      <c r="C126" s="465"/>
      <c r="D126" s="861">
        <v>197</v>
      </c>
      <c r="E126" s="861">
        <v>0</v>
      </c>
      <c r="F126" s="413">
        <f t="shared" si="3"/>
        <v>197</v>
      </c>
      <c r="G126" s="462"/>
      <c r="H126" s="462"/>
      <c r="I126" s="462"/>
      <c r="J126" s="462"/>
      <c r="K126" s="462"/>
      <c r="L126" s="462"/>
      <c r="M126" s="462"/>
      <c r="N126" s="462"/>
      <c r="O126" s="462"/>
      <c r="P126" s="462"/>
      <c r="Q126" s="462"/>
    </row>
    <row r="127" spans="1:17" s="463" customFormat="1" ht="30" customHeight="1">
      <c r="A127" s="410" t="s">
        <v>271</v>
      </c>
      <c r="B127" s="464"/>
      <c r="C127" s="465"/>
      <c r="D127" s="861">
        <v>0</v>
      </c>
      <c r="E127" s="861">
        <v>0</v>
      </c>
      <c r="F127" s="413">
        <f t="shared" si="3"/>
        <v>0</v>
      </c>
      <c r="G127" s="462"/>
      <c r="H127" s="462"/>
      <c r="I127" s="462"/>
      <c r="J127" s="462"/>
      <c r="K127" s="462"/>
      <c r="L127" s="462"/>
      <c r="M127" s="462"/>
      <c r="N127" s="462"/>
      <c r="O127" s="462"/>
      <c r="P127" s="462"/>
      <c r="Q127" s="462"/>
    </row>
    <row r="128" spans="1:17" s="463" customFormat="1" ht="60.75" customHeight="1">
      <c r="A128" s="1273" t="s">
        <v>725</v>
      </c>
      <c r="B128" s="1274"/>
      <c r="C128" s="465"/>
      <c r="D128" s="861">
        <v>0</v>
      </c>
      <c r="E128" s="861">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1">
        <v>0</v>
      </c>
      <c r="E129" s="861">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1">
        <v>0</v>
      </c>
      <c r="E130" s="861">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1">
        <v>0</v>
      </c>
      <c r="E131" s="861">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1">
        <v>0</v>
      </c>
      <c r="E132" s="861">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1">
        <v>0</v>
      </c>
      <c r="E133" s="861">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2">
        <v>0</v>
      </c>
      <c r="E134" s="862">
        <v>0</v>
      </c>
      <c r="F134" s="418">
        <f t="shared" si="3"/>
        <v>0</v>
      </c>
      <c r="G134" s="462"/>
      <c r="H134" s="462"/>
      <c r="I134" s="462"/>
      <c r="J134" s="462"/>
      <c r="K134" s="462"/>
      <c r="L134" s="462"/>
      <c r="M134" s="462"/>
      <c r="N134" s="462"/>
      <c r="O134" s="462"/>
      <c r="P134" s="462"/>
      <c r="Q134" s="462"/>
    </row>
    <row r="135" spans="1:17" ht="30" customHeight="1" thickBot="1">
      <c r="A135" s="1158" t="s">
        <v>267</v>
      </c>
      <c r="B135" s="1159"/>
      <c r="C135" s="456"/>
      <c r="D135" s="457">
        <f>SUM(D123:D134)</f>
        <v>88315</v>
      </c>
      <c r="E135" s="458">
        <f>SUM(E123:E134)</f>
        <v>0</v>
      </c>
      <c r="F135" s="459">
        <f>SUM(F123:F134)</f>
        <v>88315</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29" customHeight="1">
      <c r="A137" s="1264" t="s">
        <v>720</v>
      </c>
      <c r="B137" s="1264"/>
      <c r="C137" s="448"/>
      <c r="D137" s="449">
        <f>D135-D119</f>
        <v>-183626</v>
      </c>
      <c r="E137" s="449">
        <f t="shared" ref="E137:F137" si="4">E135-E119</f>
        <v>0</v>
      </c>
      <c r="F137" s="449">
        <f t="shared" si="4"/>
        <v>-183626</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5" t="s">
        <v>719</v>
      </c>
      <c r="B139" s="409"/>
      <c r="C139" s="409"/>
      <c r="D139" s="450"/>
      <c r="E139" s="450"/>
      <c r="F139" s="451"/>
      <c r="G139" s="443"/>
      <c r="H139" s="443"/>
      <c r="I139" s="443"/>
      <c r="J139" s="443"/>
      <c r="K139" s="443"/>
      <c r="L139" s="443"/>
      <c r="M139" s="443"/>
      <c r="N139" s="443"/>
      <c r="O139" s="443"/>
      <c r="P139" s="443"/>
      <c r="Q139" s="443"/>
    </row>
    <row r="140" spans="1:17" ht="30" customHeight="1">
      <c r="A140" s="1265" t="s">
        <v>789</v>
      </c>
      <c r="B140" s="1266"/>
      <c r="C140" s="1266"/>
      <c r="D140" s="1266"/>
      <c r="E140" s="1266"/>
      <c r="F140" s="1267"/>
      <c r="G140" s="443"/>
      <c r="H140" s="443"/>
      <c r="I140" s="443"/>
      <c r="J140" s="443"/>
      <c r="K140" s="443"/>
      <c r="L140" s="443"/>
      <c r="M140" s="443"/>
      <c r="N140" s="443"/>
      <c r="O140" s="443"/>
      <c r="P140" s="443"/>
      <c r="Q140" s="443"/>
    </row>
    <row r="141" spans="1:17" ht="30" customHeight="1">
      <c r="A141" s="1268"/>
      <c r="B141" s="1269"/>
      <c r="C141" s="1269"/>
      <c r="D141" s="1269"/>
      <c r="E141" s="1269"/>
      <c r="F141" s="1270"/>
      <c r="G141" s="443"/>
      <c r="H141" s="443"/>
      <c r="I141" s="443"/>
      <c r="J141" s="443"/>
      <c r="K141" s="443"/>
      <c r="L141" s="443"/>
      <c r="M141" s="443"/>
      <c r="N141" s="443"/>
      <c r="O141" s="443"/>
      <c r="P141" s="443"/>
      <c r="Q141" s="443"/>
    </row>
    <row r="142" spans="1:17" ht="30" customHeight="1">
      <c r="A142" s="1268"/>
      <c r="B142" s="1269"/>
      <c r="C142" s="1269"/>
      <c r="D142" s="1269"/>
      <c r="E142" s="1269"/>
      <c r="F142" s="1270"/>
      <c r="G142" s="443"/>
      <c r="H142" s="443"/>
      <c r="I142" s="443"/>
      <c r="J142" s="443"/>
      <c r="K142" s="443"/>
      <c r="L142" s="443"/>
      <c r="M142" s="443"/>
      <c r="N142" s="443"/>
      <c r="O142" s="443"/>
      <c r="P142" s="443"/>
      <c r="Q142" s="443"/>
    </row>
    <row r="143" spans="1:17" ht="30" customHeight="1">
      <c r="A143" s="1268"/>
      <c r="B143" s="1269"/>
      <c r="C143" s="1269"/>
      <c r="D143" s="1269"/>
      <c r="E143" s="1269"/>
      <c r="F143" s="1270"/>
      <c r="G143" s="443"/>
      <c r="H143" s="443"/>
      <c r="I143" s="443"/>
      <c r="J143" s="443"/>
      <c r="K143" s="443"/>
      <c r="L143" s="443"/>
      <c r="M143" s="443"/>
      <c r="N143" s="443"/>
      <c r="O143" s="443"/>
      <c r="P143" s="443"/>
      <c r="Q143" s="443"/>
    </row>
    <row r="144" spans="1:17" ht="30" customHeight="1">
      <c r="A144" s="1268"/>
      <c r="B144" s="1269"/>
      <c r="C144" s="1269"/>
      <c r="D144" s="1269"/>
      <c r="E144" s="1269"/>
      <c r="F144" s="1270"/>
      <c r="G144" s="443"/>
      <c r="H144" s="443"/>
      <c r="I144" s="443"/>
      <c r="J144" s="443"/>
      <c r="K144" s="443"/>
      <c r="L144" s="443"/>
      <c r="M144" s="443"/>
      <c r="N144" s="443"/>
      <c r="O144" s="443"/>
      <c r="P144" s="443"/>
      <c r="Q144" s="443"/>
    </row>
    <row r="145" spans="1:17" ht="30" customHeight="1">
      <c r="A145" s="1153"/>
      <c r="B145" s="1096"/>
      <c r="C145" s="1096"/>
      <c r="D145" s="1096"/>
      <c r="E145" s="1096"/>
      <c r="F145" s="1154"/>
      <c r="G145" s="443"/>
      <c r="H145" s="443"/>
      <c r="I145" s="443"/>
      <c r="J145" s="443"/>
      <c r="K145" s="443"/>
      <c r="L145" s="443"/>
      <c r="M145" s="443"/>
      <c r="N145" s="443"/>
      <c r="O145" s="443"/>
      <c r="P145" s="443"/>
      <c r="Q145" s="443"/>
    </row>
    <row r="146" spans="1:17" ht="30" customHeight="1" thickBot="1">
      <c r="A146" s="1155"/>
      <c r="B146" s="1156"/>
      <c r="C146" s="1156"/>
      <c r="D146" s="1156"/>
      <c r="E146" s="1156"/>
      <c r="F146" s="1157"/>
      <c r="G146" s="443"/>
      <c r="H146" s="443"/>
      <c r="I146" s="443"/>
      <c r="J146" s="443"/>
      <c r="K146" s="443"/>
      <c r="L146" s="443"/>
      <c r="M146" s="443"/>
      <c r="N146" s="443"/>
      <c r="O146" s="443"/>
      <c r="P146" s="443"/>
      <c r="Q146" s="443"/>
    </row>
    <row r="147" spans="1:17" ht="30" customHeight="1">
      <c r="A147" s="868"/>
      <c r="B147" s="868"/>
      <c r="C147" s="868"/>
      <c r="D147" s="868"/>
      <c r="E147" s="868"/>
      <c r="F147" s="868"/>
      <c r="G147" s="443"/>
      <c r="H147" s="443"/>
      <c r="I147" s="443"/>
      <c r="J147" s="443"/>
      <c r="K147" s="443"/>
      <c r="L147" s="443"/>
      <c r="M147" s="443"/>
      <c r="N147" s="443"/>
      <c r="O147" s="443"/>
      <c r="P147" s="443"/>
      <c r="Q147" s="443"/>
    </row>
    <row r="148" spans="1:17" ht="27" customHeight="1" thickBot="1">
      <c r="A148" s="875" t="s">
        <v>721</v>
      </c>
      <c r="B148" s="869"/>
      <c r="C148" s="869"/>
      <c r="D148" s="450"/>
      <c r="E148" s="450"/>
      <c r="F148" s="451"/>
      <c r="G148" s="443"/>
      <c r="H148" s="443"/>
      <c r="I148" s="443"/>
      <c r="J148" s="443"/>
      <c r="K148" s="443"/>
      <c r="L148" s="443"/>
      <c r="M148" s="443"/>
      <c r="N148" s="443"/>
      <c r="O148" s="443"/>
      <c r="P148" s="443"/>
      <c r="Q148" s="443"/>
    </row>
    <row r="149" spans="1:17" ht="30" customHeight="1">
      <c r="A149" s="1150"/>
      <c r="B149" s="1151"/>
      <c r="C149" s="1151"/>
      <c r="D149" s="1151"/>
      <c r="E149" s="1151"/>
      <c r="F149" s="1152"/>
      <c r="G149" s="443"/>
      <c r="H149" s="443"/>
      <c r="I149" s="443"/>
      <c r="J149" s="443"/>
      <c r="K149" s="443"/>
      <c r="L149" s="443"/>
      <c r="M149" s="443"/>
      <c r="N149" s="443"/>
      <c r="O149" s="443"/>
      <c r="P149" s="443"/>
      <c r="Q149" s="443"/>
    </row>
    <row r="150" spans="1:17" ht="30" customHeight="1">
      <c r="A150" s="1153"/>
      <c r="B150" s="1096"/>
      <c r="C150" s="1096"/>
      <c r="D150" s="1096"/>
      <c r="E150" s="1096"/>
      <c r="F150" s="1154"/>
      <c r="G150" s="443"/>
      <c r="H150" s="443"/>
      <c r="I150" s="443"/>
      <c r="J150" s="443"/>
      <c r="K150" s="443"/>
      <c r="L150" s="443"/>
      <c r="M150" s="443"/>
      <c r="N150" s="443"/>
      <c r="O150" s="443"/>
      <c r="P150" s="443"/>
      <c r="Q150" s="443"/>
    </row>
    <row r="151" spans="1:17" ht="30" customHeight="1">
      <c r="A151" s="1153"/>
      <c r="B151" s="1096"/>
      <c r="C151" s="1096"/>
      <c r="D151" s="1096"/>
      <c r="E151" s="1096"/>
      <c r="F151" s="1154"/>
      <c r="G151" s="443"/>
      <c r="H151" s="443"/>
      <c r="I151" s="443"/>
      <c r="J151" s="443"/>
      <c r="K151" s="443"/>
      <c r="L151" s="443"/>
      <c r="M151" s="443"/>
      <c r="N151" s="443"/>
      <c r="O151" s="443"/>
      <c r="P151" s="443"/>
      <c r="Q151" s="443"/>
    </row>
    <row r="152" spans="1:17" ht="30" customHeight="1">
      <c r="A152" s="1153"/>
      <c r="B152" s="1096"/>
      <c r="C152" s="1096"/>
      <c r="D152" s="1096"/>
      <c r="E152" s="1096"/>
      <c r="F152" s="1154"/>
      <c r="G152" s="443"/>
      <c r="H152" s="443"/>
      <c r="I152" s="443"/>
      <c r="J152" s="443"/>
      <c r="K152" s="443"/>
      <c r="L152" s="443"/>
      <c r="M152" s="443"/>
      <c r="N152" s="443"/>
      <c r="O152" s="443"/>
      <c r="P152" s="443"/>
      <c r="Q152" s="443"/>
    </row>
    <row r="153" spans="1:17" ht="30" customHeight="1">
      <c r="A153" s="1153"/>
      <c r="B153" s="1096"/>
      <c r="C153" s="1096"/>
      <c r="D153" s="1096"/>
      <c r="E153" s="1096"/>
      <c r="F153" s="1154"/>
      <c r="G153" s="443"/>
      <c r="H153" s="443"/>
      <c r="I153" s="443"/>
      <c r="J153" s="443"/>
      <c r="K153" s="443"/>
      <c r="L153" s="443"/>
      <c r="M153" s="443"/>
      <c r="N153" s="443"/>
      <c r="O153" s="443"/>
      <c r="P153" s="443"/>
      <c r="Q153" s="443"/>
    </row>
    <row r="154" spans="1:17" ht="30" customHeight="1">
      <c r="A154" s="1153"/>
      <c r="B154" s="1096"/>
      <c r="C154" s="1096"/>
      <c r="D154" s="1096"/>
      <c r="E154" s="1096"/>
      <c r="F154" s="1154"/>
      <c r="G154" s="443"/>
      <c r="H154" s="443"/>
      <c r="I154" s="443"/>
      <c r="J154" s="443"/>
      <c r="K154" s="443"/>
      <c r="L154" s="443"/>
      <c r="M154" s="443"/>
      <c r="N154" s="443"/>
      <c r="O154" s="443"/>
      <c r="P154" s="443"/>
      <c r="Q154" s="443"/>
    </row>
    <row r="155" spans="1:17" ht="30" customHeight="1" thickBot="1">
      <c r="A155" s="1155"/>
      <c r="B155" s="1156"/>
      <c r="C155" s="1156"/>
      <c r="D155" s="1156"/>
      <c r="E155" s="1156"/>
      <c r="F155" s="1157"/>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mlfbXjSa2DrPm2osYHazVCHqysfgQQaKbhKJn/vN095nVjhIzC4mjgAtDWB7SkwrU2xLtgl3gDoI57X+riBJ8w==" saltValue="SfszHPb0ZycJMx/xTTRKF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J63" sqref="J63"/>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105" t="s">
        <v>259</v>
      </c>
      <c r="C1" s="1105"/>
      <c r="D1" s="1105"/>
      <c r="E1" s="1105"/>
      <c r="F1" s="480"/>
      <c r="G1" s="480"/>
    </row>
    <row r="2" spans="2:7" ht="26.25">
      <c r="B2" s="1105" t="s">
        <v>779</v>
      </c>
      <c r="C2" s="1105"/>
      <c r="D2" s="1105"/>
      <c r="E2" s="1105"/>
      <c r="F2" s="480"/>
      <c r="G2" s="480"/>
    </row>
    <row r="3" spans="2:7" ht="21">
      <c r="B3" s="1070"/>
      <c r="C3" s="1070"/>
      <c r="D3" s="1070"/>
      <c r="E3" s="1070"/>
      <c r="F3" s="480"/>
      <c r="G3" s="480"/>
    </row>
    <row r="4" spans="2:7" ht="21.75" thickBot="1">
      <c r="B4" s="1176"/>
      <c r="C4" s="1176"/>
      <c r="D4" s="1176"/>
      <c r="E4" s="1176"/>
      <c r="F4" s="480"/>
      <c r="G4" s="480"/>
    </row>
    <row r="5" spans="2:7" ht="42" customHeight="1">
      <c r="B5" s="1278" t="s">
        <v>663</v>
      </c>
      <c r="C5" s="1279" t="s">
        <v>464</v>
      </c>
      <c r="D5" s="1280"/>
      <c r="E5" s="1281"/>
    </row>
    <row r="6" spans="2:7">
      <c r="B6" s="1187"/>
      <c r="C6" s="1174" t="s">
        <v>465</v>
      </c>
      <c r="D6" s="482" t="s">
        <v>466</v>
      </c>
      <c r="E6" s="483" t="s">
        <v>467</v>
      </c>
    </row>
    <row r="7" spans="2:7" ht="29.25" customHeight="1">
      <c r="B7" s="1188"/>
      <c r="C7" s="1180"/>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76"/>
    </row>
    <row r="12" spans="2:7" ht="15" customHeight="1">
      <c r="B12" s="493" t="s">
        <v>604</v>
      </c>
      <c r="C12" s="494"/>
      <c r="D12" s="494"/>
      <c r="E12" s="495"/>
    </row>
    <row r="13" spans="2:7" ht="46.5" customHeight="1">
      <c r="B13" s="1282" t="s">
        <v>664</v>
      </c>
      <c r="C13" s="1283" t="s">
        <v>464</v>
      </c>
      <c r="D13" s="1284"/>
      <c r="E13" s="1285"/>
    </row>
    <row r="14" spans="2:7">
      <c r="B14" s="1187"/>
      <c r="C14" s="1174" t="s">
        <v>465</v>
      </c>
      <c r="D14" s="496" t="s">
        <v>466</v>
      </c>
      <c r="E14" s="497" t="s">
        <v>467</v>
      </c>
    </row>
    <row r="15" spans="2:7">
      <c r="B15" s="1188"/>
      <c r="C15" s="1180"/>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286" t="s">
        <v>665</v>
      </c>
      <c r="C23" s="1287" t="s">
        <v>464</v>
      </c>
      <c r="D23" s="1288"/>
      <c r="E23" s="1289"/>
    </row>
    <row r="24" spans="2:5">
      <c r="B24" s="1189"/>
      <c r="C24" s="1174" t="s">
        <v>465</v>
      </c>
      <c r="D24" s="507" t="s">
        <v>466</v>
      </c>
      <c r="E24" s="508" t="s">
        <v>467</v>
      </c>
    </row>
    <row r="25" spans="2:5">
      <c r="B25" s="1190"/>
      <c r="C25" s="1180"/>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290" t="s">
        <v>666</v>
      </c>
      <c r="C31" s="1291" t="s">
        <v>464</v>
      </c>
      <c r="D31" s="1292"/>
      <c r="E31" s="1293"/>
    </row>
    <row r="32" spans="2:5">
      <c r="B32" s="1183"/>
      <c r="C32" s="1174" t="s">
        <v>465</v>
      </c>
      <c r="D32" s="482" t="s">
        <v>466</v>
      </c>
      <c r="E32" s="508" t="s">
        <v>467</v>
      </c>
    </row>
    <row r="33" spans="2:7">
      <c r="B33" s="1184"/>
      <c r="C33" s="1180"/>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85" t="s">
        <v>471</v>
      </c>
      <c r="C42" s="1185"/>
      <c r="D42" s="1185"/>
      <c r="E42" s="1185"/>
    </row>
    <row r="43" spans="2:7">
      <c r="B43" s="1185"/>
      <c r="C43" s="1185"/>
      <c r="D43" s="1185"/>
      <c r="E43" s="1185"/>
    </row>
    <row r="44" spans="2:7">
      <c r="B44" s="525"/>
      <c r="C44" s="525"/>
      <c r="D44" s="525"/>
      <c r="E44" s="525"/>
    </row>
    <row r="45" spans="2:7">
      <c r="B45" s="526" t="s">
        <v>667</v>
      </c>
      <c r="C45" s="527"/>
      <c r="D45" s="527"/>
      <c r="E45" s="527"/>
    </row>
    <row r="46" spans="2:7">
      <c r="B46" s="528" t="str">
        <f>"the maximum tuition rate.  Maximum credit tuition rate = "&amp;TEXT(E16,"$0.00")</f>
        <v>the maximum tuition rate.  Maximum credit tuition rate = $82.78</v>
      </c>
      <c r="C46" s="1275"/>
      <c r="D46" s="526"/>
      <c r="E46" s="526"/>
    </row>
    <row r="47" spans="2:7">
      <c r="B47" s="528" t="s">
        <v>553</v>
      </c>
      <c r="D47" s="526"/>
      <c r="E47" s="526"/>
      <c r="G47" s="1276"/>
    </row>
    <row r="48" spans="2:7">
      <c r="D48" s="526"/>
      <c r="E48" s="526"/>
    </row>
    <row r="49" spans="2:5" ht="15" customHeight="1">
      <c r="B49" s="1185"/>
      <c r="C49" s="1185"/>
      <c r="D49" s="1185"/>
      <c r="E49" s="1185"/>
    </row>
    <row r="50" spans="2:5">
      <c r="B50" s="1185"/>
      <c r="C50" s="1185"/>
      <c r="D50" s="1185"/>
      <c r="E50" s="1185"/>
    </row>
    <row r="51" spans="2:5">
      <c r="B51" s="1185"/>
      <c r="C51" s="1185"/>
      <c r="D51" s="1185"/>
      <c r="E51" s="1185"/>
    </row>
    <row r="52" spans="2:5" ht="21">
      <c r="B52" s="1070" t="str">
        <f>B1</f>
        <v>THE FLORIDA COLLEGE SYSTEM</v>
      </c>
      <c r="C52" s="1070"/>
      <c r="D52" s="1070"/>
      <c r="E52" s="1070"/>
    </row>
    <row r="53" spans="2:5" ht="21">
      <c r="B53" s="1070" t="str">
        <f>B2&amp;" , cont."</f>
        <v>FALL 2019-20 TUITION INCREASED BY 0% , cont.</v>
      </c>
      <c r="C53" s="1070"/>
      <c r="D53" s="1070"/>
      <c r="E53" s="1070"/>
    </row>
    <row r="54" spans="2:5" ht="21">
      <c r="B54" s="1070"/>
      <c r="C54" s="1070"/>
      <c r="D54" s="1070"/>
      <c r="E54" s="1070"/>
    </row>
    <row r="55" spans="2:5" ht="16.5" thickBot="1">
      <c r="B55" s="505"/>
      <c r="C55" s="522"/>
      <c r="D55" s="522"/>
      <c r="E55" s="522"/>
    </row>
    <row r="56" spans="2:5" ht="33" customHeight="1">
      <c r="B56" s="1177" t="s">
        <v>638</v>
      </c>
      <c r="C56" s="1287" t="s">
        <v>464</v>
      </c>
      <c r="D56" s="1288"/>
      <c r="E56" s="1289"/>
    </row>
    <row r="57" spans="2:5">
      <c r="B57" s="1178"/>
      <c r="C57" s="1174" t="s">
        <v>465</v>
      </c>
      <c r="D57" s="482" t="s">
        <v>466</v>
      </c>
      <c r="E57" s="508" t="s">
        <v>467</v>
      </c>
    </row>
    <row r="58" spans="2:5">
      <c r="B58" s="1179"/>
      <c r="C58" s="1180"/>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181" t="s">
        <v>639</v>
      </c>
      <c r="C63" s="1283" t="s">
        <v>464</v>
      </c>
      <c r="D63" s="1284"/>
      <c r="E63" s="1294"/>
    </row>
    <row r="64" spans="2:5">
      <c r="B64" s="1178"/>
      <c r="C64" s="1174" t="s">
        <v>465</v>
      </c>
      <c r="D64" s="482" t="s">
        <v>466</v>
      </c>
      <c r="E64" s="508" t="s">
        <v>467</v>
      </c>
    </row>
    <row r="65" spans="2:16">
      <c r="B65" s="1179"/>
      <c r="C65" s="1180"/>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71" t="s">
        <v>523</v>
      </c>
      <c r="C72" s="1287" t="s">
        <v>622</v>
      </c>
      <c r="D72" s="1288"/>
      <c r="E72" s="1289"/>
    </row>
    <row r="73" spans="2:16">
      <c r="B73" s="1172"/>
      <c r="C73" s="1174" t="s">
        <v>465</v>
      </c>
      <c r="D73" s="534" t="s">
        <v>466</v>
      </c>
      <c r="E73" s="535" t="s">
        <v>467</v>
      </c>
    </row>
    <row r="74" spans="2:16">
      <c r="B74" s="1173"/>
      <c r="C74" s="1175"/>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86"/>
      <c r="G76" s="1186"/>
      <c r="H76" s="1186"/>
      <c r="I76" s="1186"/>
      <c r="J76" s="1186"/>
      <c r="K76" s="1186"/>
      <c r="L76" s="1186"/>
      <c r="M76" s="1186"/>
      <c r="N76" s="1186"/>
      <c r="O76" s="1186"/>
      <c r="P76" s="1186"/>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86"/>
      <c r="G78" s="1186"/>
      <c r="H78" s="1186"/>
      <c r="I78" s="1186"/>
      <c r="J78" s="1186"/>
      <c r="K78" s="1186"/>
      <c r="L78" s="1186"/>
      <c r="M78" s="1186"/>
      <c r="N78" s="1186"/>
      <c r="O78" s="1186"/>
      <c r="P78" s="1186"/>
    </row>
    <row r="79" spans="2:16" ht="15" customHeight="1">
      <c r="B79" s="523" t="s">
        <v>474</v>
      </c>
      <c r="C79" s="524"/>
      <c r="D79" s="524"/>
      <c r="E79" s="524"/>
    </row>
    <row r="80" spans="2:16" ht="15" customHeight="1">
      <c r="B80" s="523"/>
      <c r="C80" s="524"/>
      <c r="D80" s="524"/>
      <c r="E80" s="524"/>
    </row>
    <row r="81" spans="2:5" ht="30.6" customHeight="1">
      <c r="B81" s="1182" t="s">
        <v>603</v>
      </c>
      <c r="C81" s="1182"/>
      <c r="D81" s="1182"/>
      <c r="E81" s="1182"/>
    </row>
    <row r="83" spans="2:5" ht="15" customHeight="1"/>
    <row r="85" spans="2:5">
      <c r="B85" s="526"/>
      <c r="C85" s="1277"/>
      <c r="D85" s="1277"/>
      <c r="E85" s="1277"/>
    </row>
    <row r="86" spans="2:5">
      <c r="B86" s="526"/>
      <c r="C86" s="527"/>
      <c r="D86" s="527"/>
      <c r="E86" s="527"/>
    </row>
    <row r="87" spans="2:5">
      <c r="B87" s="526"/>
      <c r="C87" s="1275"/>
      <c r="D87" s="526"/>
      <c r="E87" s="526"/>
    </row>
    <row r="88" spans="2:5">
      <c r="B88" s="526"/>
      <c r="C88" s="1275"/>
      <c r="D88" s="526"/>
      <c r="E88" s="526"/>
    </row>
    <row r="89" spans="2:5">
      <c r="B89" s="526"/>
      <c r="C89" s="526"/>
      <c r="D89" s="526"/>
      <c r="E89" s="526"/>
    </row>
    <row r="90" spans="2:5">
      <c r="B90" s="526"/>
      <c r="C90" s="526"/>
      <c r="D90" s="526"/>
      <c r="E90" s="526"/>
    </row>
    <row r="91" spans="2:5">
      <c r="B91" s="1176"/>
      <c r="C91" s="1176"/>
      <c r="D91" s="1176"/>
      <c r="E91" s="1176"/>
    </row>
    <row r="92" spans="2:5">
      <c r="B92" s="1176"/>
      <c r="C92" s="1176"/>
      <c r="D92" s="1176"/>
      <c r="E92" s="1176"/>
    </row>
  </sheetData>
  <sheetProtection algorithmName="SHA-512" hashValue="8EQ0jzvzP8KhscQXS2ledvey9XxI65EVEilAswHg4djuVQxpUoVXRHIqneDDZF4kiJA3Dod58XxhuaX2+Ev8fQ==" saltValue="5o6r5mkA9UFXWLuQ9S8bC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C43" sqref="C42:C43"/>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0" customFormat="1" ht="26.25">
      <c r="A1" s="1222" t="s">
        <v>259</v>
      </c>
      <c r="B1" s="1222"/>
      <c r="C1" s="1222"/>
    </row>
    <row r="2" spans="1:21" s="140" customFormat="1" ht="21" customHeight="1" thickBot="1">
      <c r="A2" s="1222" t="s">
        <v>778</v>
      </c>
      <c r="B2" s="1222"/>
      <c r="C2" s="1222"/>
      <c r="D2" s="141"/>
      <c r="E2" s="141"/>
      <c r="F2" s="141"/>
      <c r="G2" s="141"/>
      <c r="H2" s="141"/>
      <c r="I2" s="141"/>
      <c r="J2" s="141"/>
      <c r="K2" s="141"/>
      <c r="L2" s="141"/>
      <c r="M2" s="141"/>
      <c r="N2" s="141"/>
      <c r="O2" s="141"/>
      <c r="P2" s="141"/>
      <c r="Q2" s="141"/>
      <c r="R2" s="141"/>
      <c r="S2" s="141"/>
      <c r="T2" s="141"/>
      <c r="U2" s="141"/>
    </row>
    <row r="3" spans="1:21" s="140" customFormat="1" ht="26.45" customHeight="1">
      <c r="A3" s="1295" t="s">
        <v>411</v>
      </c>
      <c r="B3" s="1296"/>
      <c r="C3" s="1297"/>
      <c r="D3" s="141"/>
      <c r="E3" s="141"/>
      <c r="F3" s="141"/>
      <c r="G3" s="141"/>
      <c r="H3" s="141"/>
      <c r="I3" s="141"/>
      <c r="J3" s="141"/>
      <c r="K3" s="141"/>
      <c r="L3" s="141"/>
      <c r="M3" s="141"/>
      <c r="N3" s="141"/>
      <c r="O3" s="141"/>
      <c r="P3" s="141"/>
      <c r="Q3" s="141"/>
      <c r="R3" s="141"/>
      <c r="S3" s="141"/>
      <c r="T3" s="141"/>
      <c r="U3" s="141"/>
    </row>
    <row r="4" spans="1:21" s="140" customFormat="1" ht="42">
      <c r="A4" s="1298" t="s">
        <v>412</v>
      </c>
      <c r="B4" s="1299">
        <v>7.0000000000000007E-2</v>
      </c>
      <c r="C4" s="1300" t="s">
        <v>413</v>
      </c>
      <c r="D4" s="141"/>
      <c r="E4" s="141"/>
      <c r="F4" s="141"/>
      <c r="G4" s="141"/>
      <c r="H4" s="141"/>
      <c r="I4" s="141"/>
      <c r="J4" s="141"/>
      <c r="K4" s="141"/>
      <c r="L4" s="141"/>
      <c r="M4" s="141"/>
      <c r="N4" s="141"/>
      <c r="O4" s="141"/>
      <c r="P4" s="141"/>
      <c r="Q4" s="141"/>
      <c r="R4" s="141"/>
      <c r="S4" s="141"/>
      <c r="T4" s="141"/>
      <c r="U4" s="141"/>
    </row>
    <row r="5" spans="1:21" s="140" customFormat="1" ht="42">
      <c r="A5" s="142" t="s">
        <v>414</v>
      </c>
      <c r="B5" s="143">
        <v>0.05</v>
      </c>
      <c r="C5" s="144" t="s">
        <v>413</v>
      </c>
      <c r="D5" s="141"/>
      <c r="E5" s="141"/>
      <c r="F5" s="141"/>
      <c r="G5" s="141"/>
      <c r="H5" s="141"/>
      <c r="I5" s="141"/>
      <c r="J5" s="141"/>
      <c r="K5" s="141"/>
      <c r="L5" s="141"/>
      <c r="M5" s="141"/>
      <c r="N5" s="141"/>
      <c r="O5" s="141"/>
      <c r="P5" s="141"/>
      <c r="Q5" s="141"/>
      <c r="R5" s="141"/>
      <c r="S5" s="141"/>
      <c r="T5" s="141"/>
      <c r="U5" s="141"/>
    </row>
    <row r="6" spans="1:21" s="140" customFormat="1" ht="30.95" customHeight="1">
      <c r="A6" s="145" t="s">
        <v>637</v>
      </c>
      <c r="B6" s="146">
        <v>0.1</v>
      </c>
      <c r="C6" s="147" t="s">
        <v>413</v>
      </c>
      <c r="D6" s="141"/>
      <c r="E6" s="141"/>
      <c r="F6" s="141"/>
      <c r="G6" s="141"/>
      <c r="H6" s="141"/>
      <c r="I6" s="141"/>
      <c r="J6" s="141"/>
      <c r="K6" s="141"/>
      <c r="L6" s="141"/>
      <c r="M6" s="141"/>
      <c r="N6" s="141"/>
      <c r="O6" s="141"/>
      <c r="P6" s="141"/>
      <c r="Q6" s="141"/>
      <c r="R6" s="141"/>
      <c r="S6" s="141"/>
      <c r="T6" s="141"/>
      <c r="U6" s="141"/>
    </row>
    <row r="7" spans="1:21" s="140" customFormat="1" ht="26.45" customHeight="1">
      <c r="A7" s="1301" t="s">
        <v>415</v>
      </c>
      <c r="B7" s="1302"/>
      <c r="C7" s="1303"/>
      <c r="D7" s="141"/>
      <c r="E7" s="141"/>
      <c r="F7" s="141"/>
      <c r="G7" s="141"/>
      <c r="H7" s="141"/>
      <c r="I7" s="141"/>
      <c r="J7" s="141"/>
      <c r="K7" s="141"/>
      <c r="L7" s="141"/>
      <c r="M7" s="141"/>
      <c r="N7" s="141"/>
      <c r="O7" s="141"/>
      <c r="P7" s="141"/>
      <c r="Q7" s="141"/>
      <c r="R7" s="141"/>
      <c r="S7" s="141"/>
      <c r="T7" s="141"/>
      <c r="U7" s="141"/>
    </row>
    <row r="8" spans="1:21" s="140" customFormat="1" ht="42">
      <c r="A8" s="142" t="s">
        <v>412</v>
      </c>
      <c r="B8" s="143">
        <v>7.0000000000000007E-2</v>
      </c>
      <c r="C8" s="144" t="s">
        <v>416</v>
      </c>
      <c r="D8" s="141"/>
      <c r="E8" s="141"/>
      <c r="F8" s="141"/>
      <c r="G8" s="141"/>
      <c r="H8" s="141"/>
      <c r="I8" s="141"/>
      <c r="J8" s="141"/>
      <c r="K8" s="141"/>
      <c r="L8" s="141"/>
      <c r="M8" s="141"/>
      <c r="N8" s="141"/>
      <c r="O8" s="141"/>
      <c r="P8" s="141"/>
      <c r="Q8" s="141"/>
      <c r="R8" s="141"/>
      <c r="S8" s="141"/>
      <c r="T8" s="141"/>
      <c r="U8" s="141"/>
    </row>
    <row r="9" spans="1:21" s="140" customFormat="1" ht="42">
      <c r="A9" s="142" t="s">
        <v>414</v>
      </c>
      <c r="B9" s="143">
        <v>0.05</v>
      </c>
      <c r="C9" s="144" t="s">
        <v>416</v>
      </c>
      <c r="D9" s="141"/>
      <c r="E9" s="141"/>
      <c r="F9" s="141"/>
      <c r="G9" s="141"/>
      <c r="H9" s="141"/>
      <c r="I9" s="141"/>
      <c r="J9" s="141"/>
      <c r="K9" s="141"/>
      <c r="L9" s="141"/>
      <c r="M9" s="141"/>
      <c r="N9" s="141"/>
      <c r="O9" s="141"/>
      <c r="P9" s="141"/>
      <c r="Q9" s="141"/>
      <c r="R9" s="141"/>
      <c r="S9" s="141"/>
      <c r="T9" s="141"/>
      <c r="U9" s="141"/>
    </row>
    <row r="10" spans="1:21" s="140" customFormat="1" ht="28.9" customHeight="1">
      <c r="A10" s="145" t="str">
        <f>A6</f>
        <v>CCATD</v>
      </c>
      <c r="B10" s="146">
        <v>0.1</v>
      </c>
      <c r="C10" s="147" t="s">
        <v>416</v>
      </c>
      <c r="D10" s="141"/>
      <c r="E10" s="141"/>
      <c r="F10" s="141"/>
      <c r="G10" s="141"/>
      <c r="H10" s="141"/>
      <c r="I10" s="141"/>
      <c r="J10" s="141"/>
      <c r="K10" s="141"/>
      <c r="L10" s="141"/>
      <c r="M10" s="141"/>
      <c r="N10" s="141"/>
      <c r="O10" s="141"/>
      <c r="P10" s="141"/>
      <c r="Q10" s="141"/>
      <c r="R10" s="141"/>
      <c r="S10" s="141"/>
      <c r="T10" s="141"/>
      <c r="U10" s="141"/>
    </row>
    <row r="11" spans="1:21" s="140" customFormat="1" ht="26.45" customHeight="1">
      <c r="A11" s="1301" t="s">
        <v>417</v>
      </c>
      <c r="B11" s="1302"/>
      <c r="C11" s="1303"/>
      <c r="D11" s="141"/>
      <c r="E11" s="141"/>
      <c r="F11" s="141"/>
      <c r="G11" s="141"/>
      <c r="H11" s="141"/>
      <c r="I11" s="141"/>
      <c r="J11" s="141"/>
      <c r="K11" s="141"/>
      <c r="L11" s="141"/>
      <c r="M11" s="141"/>
      <c r="N11" s="141"/>
      <c r="O11" s="141"/>
      <c r="P11" s="141"/>
      <c r="Q11" s="141"/>
      <c r="R11" s="141"/>
      <c r="S11" s="141"/>
      <c r="T11" s="141"/>
      <c r="U11" s="141"/>
    </row>
    <row r="12" spans="1:21" s="140" customFormat="1" ht="28.9" customHeight="1">
      <c r="A12" s="142" t="s">
        <v>418</v>
      </c>
      <c r="B12" s="143">
        <v>0.1</v>
      </c>
      <c r="C12" s="144" t="s">
        <v>419</v>
      </c>
      <c r="D12" s="141"/>
      <c r="E12" s="141"/>
      <c r="F12" s="141"/>
      <c r="G12" s="141"/>
      <c r="H12" s="141"/>
      <c r="I12" s="141"/>
      <c r="J12" s="141"/>
      <c r="K12" s="141"/>
      <c r="L12" s="141"/>
      <c r="M12" s="141"/>
      <c r="N12" s="141"/>
      <c r="O12" s="141"/>
      <c r="P12" s="141"/>
      <c r="Q12" s="141"/>
      <c r="R12" s="141"/>
      <c r="S12" s="141"/>
      <c r="T12" s="141"/>
      <c r="U12" s="141"/>
    </row>
    <row r="13" spans="1:21" s="140" customFormat="1" ht="30" customHeight="1">
      <c r="A13" s="145" t="str">
        <f>A6</f>
        <v>CCATD</v>
      </c>
      <c r="B13" s="146">
        <v>0</v>
      </c>
      <c r="C13" s="147" t="s">
        <v>420</v>
      </c>
      <c r="D13" s="141"/>
      <c r="E13" s="141"/>
      <c r="F13" s="141"/>
      <c r="G13" s="141"/>
      <c r="H13" s="141"/>
      <c r="I13" s="141"/>
      <c r="J13" s="141"/>
      <c r="K13" s="141"/>
      <c r="L13" s="141"/>
      <c r="M13" s="141"/>
      <c r="N13" s="141"/>
      <c r="O13" s="141"/>
      <c r="P13" s="141"/>
      <c r="Q13" s="141"/>
      <c r="R13" s="141"/>
      <c r="S13" s="141"/>
      <c r="T13" s="141"/>
      <c r="U13" s="141"/>
    </row>
    <row r="14" spans="1:21" s="140" customFormat="1" ht="26.45" customHeight="1">
      <c r="A14" s="148" t="s">
        <v>421</v>
      </c>
      <c r="B14" s="149"/>
      <c r="C14" s="150"/>
      <c r="D14" s="141"/>
      <c r="E14" s="141"/>
      <c r="F14" s="141"/>
      <c r="G14" s="141"/>
      <c r="H14" s="141"/>
      <c r="I14" s="141"/>
      <c r="J14" s="141"/>
      <c r="K14" s="141"/>
      <c r="L14" s="141"/>
      <c r="M14" s="141"/>
      <c r="N14" s="141"/>
      <c r="O14" s="141"/>
      <c r="P14" s="141"/>
      <c r="Q14" s="141"/>
      <c r="R14" s="141"/>
      <c r="S14" s="141"/>
      <c r="T14" s="141"/>
      <c r="U14" s="141"/>
    </row>
    <row r="15" spans="1:21" s="140" customFormat="1" ht="27.95" customHeight="1">
      <c r="A15" s="142" t="s">
        <v>418</v>
      </c>
      <c r="B15" s="143">
        <v>0.1</v>
      </c>
      <c r="C15" s="144" t="s">
        <v>422</v>
      </c>
      <c r="D15" s="141"/>
      <c r="E15" s="141"/>
      <c r="F15" s="141"/>
      <c r="G15" s="141"/>
      <c r="H15" s="141"/>
      <c r="I15" s="141"/>
      <c r="J15" s="141"/>
      <c r="K15" s="141"/>
      <c r="L15" s="141"/>
      <c r="M15" s="141"/>
      <c r="N15" s="141"/>
      <c r="O15" s="141"/>
      <c r="P15" s="141"/>
      <c r="Q15" s="141"/>
      <c r="R15" s="141"/>
      <c r="S15" s="141"/>
      <c r="T15" s="141"/>
      <c r="U15" s="141"/>
    </row>
    <row r="16" spans="1:21" s="140" customFormat="1" ht="27.95" customHeight="1">
      <c r="A16" s="145" t="str">
        <f>A6</f>
        <v>CCATD</v>
      </c>
      <c r="B16" s="146">
        <v>0</v>
      </c>
      <c r="C16" s="147" t="s">
        <v>420</v>
      </c>
      <c r="D16" s="141"/>
      <c r="E16" s="141"/>
      <c r="F16" s="141"/>
      <c r="G16" s="141"/>
      <c r="H16" s="141"/>
      <c r="I16" s="141"/>
      <c r="J16" s="141"/>
      <c r="K16" s="141"/>
      <c r="L16" s="141"/>
      <c r="M16" s="141"/>
      <c r="N16" s="141"/>
      <c r="O16" s="141"/>
      <c r="P16" s="141"/>
      <c r="Q16" s="141"/>
      <c r="R16" s="141"/>
      <c r="S16" s="141"/>
      <c r="T16" s="141"/>
      <c r="U16" s="141"/>
    </row>
    <row r="17" spans="1:21" s="140" customFormat="1" ht="26.45" customHeight="1">
      <c r="A17" s="1301" t="s">
        <v>423</v>
      </c>
      <c r="B17" s="1302"/>
      <c r="C17" s="1303"/>
      <c r="D17" s="141"/>
      <c r="E17" s="141"/>
      <c r="F17" s="141"/>
      <c r="G17" s="141"/>
      <c r="H17" s="141"/>
      <c r="I17" s="141"/>
      <c r="J17" s="141"/>
      <c r="K17" s="141"/>
      <c r="L17" s="141"/>
      <c r="M17" s="141"/>
      <c r="N17" s="141"/>
      <c r="O17" s="141"/>
      <c r="P17" s="141"/>
      <c r="Q17" s="141"/>
      <c r="R17" s="141"/>
      <c r="S17" s="141"/>
      <c r="T17" s="141"/>
      <c r="U17" s="141"/>
    </row>
    <row r="18" spans="1:21" s="140" customFormat="1" ht="42">
      <c r="A18" s="151" t="s">
        <v>418</v>
      </c>
      <c r="B18" s="143">
        <v>0.2</v>
      </c>
      <c r="C18" s="152" t="s">
        <v>424</v>
      </c>
      <c r="D18" s="141"/>
      <c r="E18" s="141"/>
      <c r="F18" s="141"/>
      <c r="G18" s="141"/>
      <c r="H18" s="141"/>
      <c r="I18" s="141"/>
      <c r="J18" s="141"/>
      <c r="K18" s="141"/>
      <c r="L18" s="141"/>
      <c r="M18" s="141"/>
      <c r="N18" s="141"/>
      <c r="O18" s="141"/>
      <c r="P18" s="141"/>
      <c r="Q18" s="141"/>
      <c r="R18" s="141"/>
      <c r="S18" s="141"/>
      <c r="T18" s="141"/>
      <c r="U18" s="141"/>
    </row>
    <row r="19" spans="1:21" s="140" customFormat="1" ht="30.95" customHeight="1">
      <c r="A19" s="145" t="str">
        <f>A6</f>
        <v>CCATD</v>
      </c>
      <c r="B19" s="146">
        <v>0.05</v>
      </c>
      <c r="C19" s="147" t="s">
        <v>425</v>
      </c>
      <c r="D19" s="141"/>
      <c r="E19" s="141"/>
      <c r="F19" s="141"/>
      <c r="G19" s="141"/>
      <c r="H19" s="141"/>
      <c r="I19" s="141"/>
      <c r="J19" s="141"/>
      <c r="K19" s="141"/>
      <c r="L19" s="141"/>
      <c r="M19" s="141"/>
      <c r="N19" s="141"/>
      <c r="O19" s="141"/>
      <c r="P19" s="141"/>
      <c r="Q19" s="141"/>
      <c r="R19" s="141"/>
      <c r="S19" s="141"/>
      <c r="T19" s="141"/>
      <c r="U19" s="141"/>
    </row>
    <row r="20" spans="1:21" s="140" customFormat="1" ht="26.45" customHeight="1">
      <c r="A20" s="1301" t="s">
        <v>426</v>
      </c>
      <c r="B20" s="1302"/>
      <c r="C20" s="1303"/>
      <c r="D20" s="141"/>
      <c r="E20" s="141"/>
      <c r="F20" s="141"/>
      <c r="G20" s="141"/>
      <c r="H20" s="141"/>
      <c r="I20" s="141"/>
      <c r="J20" s="141"/>
      <c r="K20" s="141"/>
      <c r="L20" s="141"/>
      <c r="M20" s="141"/>
      <c r="N20" s="141"/>
      <c r="O20" s="141"/>
      <c r="P20" s="141"/>
      <c r="Q20" s="141"/>
      <c r="R20" s="141"/>
      <c r="S20" s="141"/>
      <c r="T20" s="141"/>
      <c r="U20" s="141"/>
    </row>
    <row r="21" spans="1:21" s="140" customFormat="1" ht="21">
      <c r="A21" s="151" t="s">
        <v>418</v>
      </c>
      <c r="B21" s="143">
        <v>0.2</v>
      </c>
      <c r="C21" s="144" t="s">
        <v>416</v>
      </c>
      <c r="D21" s="141"/>
      <c r="E21" s="141"/>
      <c r="F21" s="141"/>
      <c r="G21" s="141"/>
      <c r="H21" s="141"/>
      <c r="I21" s="141"/>
      <c r="J21" s="141"/>
      <c r="K21" s="141"/>
      <c r="L21" s="141"/>
      <c r="M21" s="141"/>
      <c r="N21" s="141"/>
      <c r="O21" s="141"/>
      <c r="P21" s="141"/>
      <c r="Q21" s="141"/>
      <c r="R21" s="141"/>
      <c r="S21" s="141"/>
      <c r="T21" s="141"/>
      <c r="U21" s="141"/>
    </row>
    <row r="22" spans="1:21" s="140" customFormat="1" ht="27.95" customHeight="1">
      <c r="A22" s="145" t="str">
        <f>A6</f>
        <v>CCATD</v>
      </c>
      <c r="B22" s="146">
        <v>0.05</v>
      </c>
      <c r="C22" s="147" t="s">
        <v>416</v>
      </c>
      <c r="D22" s="141"/>
      <c r="E22" s="141"/>
      <c r="F22" s="141"/>
      <c r="G22" s="141"/>
      <c r="H22" s="141"/>
      <c r="I22" s="141"/>
      <c r="J22" s="141"/>
      <c r="K22" s="141"/>
      <c r="L22" s="141"/>
      <c r="M22" s="141"/>
      <c r="N22" s="141"/>
      <c r="O22" s="141"/>
      <c r="P22" s="141"/>
      <c r="Q22" s="141"/>
      <c r="R22" s="141"/>
      <c r="S22" s="141"/>
      <c r="T22" s="141"/>
      <c r="U22" s="141"/>
    </row>
    <row r="23" spans="1:21" s="140" customFormat="1" ht="26.45" customHeight="1">
      <c r="A23" s="1301" t="s">
        <v>427</v>
      </c>
      <c r="B23" s="1302"/>
      <c r="C23" s="1303"/>
      <c r="D23" s="141"/>
      <c r="E23" s="141"/>
      <c r="F23" s="141"/>
      <c r="G23" s="141"/>
      <c r="H23" s="141"/>
      <c r="I23" s="141"/>
      <c r="J23" s="141"/>
      <c r="K23" s="141"/>
      <c r="L23" s="141"/>
      <c r="M23" s="141"/>
      <c r="N23" s="141"/>
      <c r="O23" s="141"/>
      <c r="P23" s="141"/>
      <c r="Q23" s="141"/>
      <c r="R23" s="141"/>
      <c r="S23" s="141"/>
      <c r="T23" s="141"/>
      <c r="U23" s="141"/>
    </row>
    <row r="24" spans="1:21" s="140" customFormat="1" ht="21">
      <c r="A24" s="151" t="s">
        <v>418</v>
      </c>
      <c r="B24" s="143">
        <v>0.05</v>
      </c>
      <c r="C24" s="144" t="s">
        <v>419</v>
      </c>
      <c r="D24" s="141"/>
      <c r="E24" s="141"/>
      <c r="F24" s="141"/>
      <c r="G24" s="141"/>
      <c r="H24" s="141"/>
      <c r="I24" s="141"/>
      <c r="J24" s="141"/>
      <c r="K24" s="141"/>
      <c r="L24" s="141"/>
      <c r="M24" s="141"/>
      <c r="N24" s="141"/>
      <c r="O24" s="141"/>
      <c r="P24" s="141"/>
      <c r="Q24" s="141"/>
      <c r="R24" s="141"/>
      <c r="S24" s="141"/>
      <c r="T24" s="141"/>
      <c r="U24" s="141"/>
    </row>
    <row r="25" spans="1:21" s="140" customFormat="1" ht="27.95" customHeight="1">
      <c r="A25" s="145" t="str">
        <f>A6</f>
        <v>CCATD</v>
      </c>
      <c r="B25" s="146">
        <v>0.05</v>
      </c>
      <c r="C25" s="153" t="s">
        <v>419</v>
      </c>
      <c r="D25" s="141"/>
      <c r="E25" s="141"/>
      <c r="F25" s="141"/>
      <c r="G25" s="141"/>
      <c r="H25" s="141"/>
      <c r="I25" s="141"/>
      <c r="J25" s="141"/>
      <c r="K25" s="141"/>
      <c r="L25" s="141"/>
      <c r="M25" s="141"/>
      <c r="N25" s="141"/>
      <c r="O25" s="141"/>
      <c r="P25" s="141"/>
      <c r="Q25" s="141"/>
      <c r="R25" s="141"/>
      <c r="S25" s="141"/>
      <c r="T25" s="141"/>
      <c r="U25" s="141"/>
    </row>
    <row r="26" spans="1:21" s="140" customFormat="1" ht="26.45" customHeight="1">
      <c r="A26" s="1301" t="s">
        <v>428</v>
      </c>
      <c r="B26" s="1302"/>
      <c r="C26" s="1303"/>
      <c r="D26" s="141"/>
      <c r="E26" s="141"/>
      <c r="F26" s="141"/>
      <c r="G26" s="141"/>
      <c r="H26" s="141"/>
      <c r="I26" s="141"/>
      <c r="J26" s="141"/>
      <c r="K26" s="141"/>
      <c r="L26" s="141"/>
      <c r="M26" s="141"/>
      <c r="N26" s="141"/>
      <c r="O26" s="141"/>
      <c r="P26" s="141"/>
      <c r="Q26" s="141"/>
      <c r="R26" s="141"/>
      <c r="S26" s="141"/>
      <c r="T26" s="141"/>
      <c r="U26" s="141"/>
    </row>
    <row r="27" spans="1:21" s="140" customFormat="1" ht="21">
      <c r="A27" s="151" t="s">
        <v>418</v>
      </c>
      <c r="B27" s="143">
        <v>0.05</v>
      </c>
      <c r="C27" s="144" t="s">
        <v>416</v>
      </c>
      <c r="D27" s="141"/>
      <c r="E27" s="141"/>
      <c r="F27" s="141"/>
      <c r="G27" s="141"/>
      <c r="H27" s="141"/>
      <c r="I27" s="141"/>
      <c r="J27" s="141"/>
      <c r="K27" s="141"/>
      <c r="L27" s="141"/>
      <c r="M27" s="141"/>
      <c r="N27" s="141"/>
      <c r="O27" s="141"/>
      <c r="P27" s="141"/>
      <c r="Q27" s="141"/>
      <c r="R27" s="141"/>
      <c r="S27" s="141"/>
      <c r="T27" s="141"/>
      <c r="U27" s="141"/>
    </row>
    <row r="28" spans="1:21" s="140" customFormat="1" ht="27.95" customHeight="1" thickBot="1">
      <c r="A28" s="154" t="str">
        <f>A6</f>
        <v>CCATD</v>
      </c>
      <c r="B28" s="155">
        <v>0.05</v>
      </c>
      <c r="C28" s="156" t="s">
        <v>416</v>
      </c>
      <c r="D28" s="141"/>
      <c r="E28" s="141"/>
      <c r="F28" s="141"/>
      <c r="G28" s="141"/>
      <c r="H28" s="141"/>
      <c r="I28" s="141"/>
      <c r="J28" s="141"/>
      <c r="K28" s="141"/>
      <c r="L28" s="141"/>
      <c r="M28" s="141"/>
      <c r="N28" s="141"/>
      <c r="O28" s="141"/>
      <c r="P28" s="141"/>
      <c r="Q28" s="141"/>
      <c r="R28" s="141"/>
      <c r="S28" s="141"/>
      <c r="T28" s="141"/>
      <c r="U28" s="141"/>
    </row>
    <row r="30" spans="1:21" ht="61.15" customHeight="1">
      <c r="A30" s="1304" t="s">
        <v>641</v>
      </c>
      <c r="B30" s="1304"/>
      <c r="C30" s="1304"/>
    </row>
    <row r="31" spans="1:21" ht="14.45" customHeight="1"/>
    <row r="32" spans="1:21" ht="31.15" customHeight="1">
      <c r="A32" s="1304" t="s">
        <v>642</v>
      </c>
      <c r="B32" s="1304"/>
      <c r="C32" s="1304"/>
    </row>
    <row r="33" spans="1:3" ht="14.45" customHeight="1"/>
    <row r="34" spans="1:3" ht="30" customHeight="1">
      <c r="A34" s="1304" t="s">
        <v>643</v>
      </c>
      <c r="B34" s="1304"/>
      <c r="C34" s="1304"/>
    </row>
    <row r="35" spans="1:3" ht="14.45" customHeight="1"/>
    <row r="36" spans="1:3" ht="15" customHeight="1">
      <c r="A36" s="1305" t="s">
        <v>640</v>
      </c>
      <c r="B36" s="1306"/>
      <c r="C36" s="1306"/>
    </row>
    <row r="37" spans="1:3" ht="15" customHeight="1">
      <c r="A37" s="138"/>
      <c r="B37" s="137"/>
      <c r="C37" s="137"/>
    </row>
    <row r="38" spans="1:3" ht="15" customHeight="1">
      <c r="A38" s="139"/>
      <c r="B38" s="137"/>
      <c r="C38" s="137"/>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4"/>
    </sheetView>
  </sheetViews>
  <sheetFormatPr defaultRowHeight="12.75"/>
  <cols>
    <col min="1" max="16384" width="9.140625" style="319"/>
  </cols>
  <sheetData>
    <row r="1" spans="1:10" ht="22.15" customHeight="1">
      <c r="A1" s="1191" t="s">
        <v>259</v>
      </c>
      <c r="B1" s="1191"/>
      <c r="C1" s="1191"/>
      <c r="D1" s="1191"/>
      <c r="E1" s="1191"/>
      <c r="F1" s="1191"/>
      <c r="G1" s="1191"/>
      <c r="H1" s="1191"/>
      <c r="I1" s="1191"/>
      <c r="J1" s="1191"/>
    </row>
    <row r="2" spans="1:10" ht="22.15" customHeight="1">
      <c r="A2" s="1191" t="s">
        <v>785</v>
      </c>
      <c r="B2" s="1191"/>
      <c r="C2" s="1191"/>
      <c r="D2" s="1191"/>
      <c r="E2" s="1191"/>
      <c r="F2" s="1191"/>
      <c r="G2" s="1191"/>
      <c r="H2" s="1191"/>
      <c r="I2" s="1191"/>
      <c r="J2" s="1191"/>
    </row>
    <row r="3" spans="1:10" ht="22.15" customHeight="1">
      <c r="A3" s="1191" t="s">
        <v>724</v>
      </c>
      <c r="B3" s="1191"/>
      <c r="C3" s="1191"/>
      <c r="D3" s="1191"/>
      <c r="E3" s="1191"/>
      <c r="F3" s="1191"/>
      <c r="G3" s="1191"/>
      <c r="H3" s="1191"/>
      <c r="I3" s="1191"/>
      <c r="J3" s="1191"/>
    </row>
    <row r="4" spans="1:10" ht="26.45" customHeight="1">
      <c r="A4" s="1192" t="s">
        <v>657</v>
      </c>
      <c r="B4" s="1192"/>
      <c r="C4" s="1192"/>
      <c r="D4" s="1192"/>
      <c r="E4" s="1192"/>
      <c r="F4" s="1192"/>
      <c r="G4" s="1192"/>
      <c r="H4" s="1192"/>
      <c r="I4" s="1192"/>
      <c r="J4" s="1192"/>
    </row>
    <row r="11" spans="1:10" ht="34.5">
      <c r="E11" s="819"/>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152400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109" zoomScale="80" zoomScaleNormal="80" workbookViewId="0">
      <selection activeCell="H120" sqref="H120"/>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11" t="s">
        <v>715</v>
      </c>
      <c r="B1" s="1311"/>
      <c r="C1" s="1311"/>
      <c r="D1" s="1311"/>
      <c r="E1" s="27"/>
      <c r="F1" s="28"/>
    </row>
    <row r="2" spans="1:10" ht="33.6" customHeight="1" thickBot="1">
      <c r="A2" s="1318" t="s">
        <v>722</v>
      </c>
      <c r="B2" s="1318"/>
      <c r="C2" s="1318"/>
      <c r="D2" s="1318"/>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21" t="s">
        <v>739</v>
      </c>
      <c r="C5" s="1322"/>
      <c r="D5" s="1323"/>
      <c r="F5" s="31"/>
    </row>
    <row r="6" spans="1:10" ht="88.9" customHeight="1" thickBot="1">
      <c r="A6" s="781" t="s">
        <v>602</v>
      </c>
      <c r="B6" s="108" t="s">
        <v>616</v>
      </c>
      <c r="C6" s="124" t="s">
        <v>625</v>
      </c>
      <c r="D6" s="123" t="s">
        <v>380</v>
      </c>
      <c r="E6" s="35"/>
      <c r="F6" s="31"/>
    </row>
    <row r="7" spans="1:10" ht="25.15" customHeight="1">
      <c r="A7" s="780" t="s">
        <v>677</v>
      </c>
      <c r="B7" s="913">
        <v>37403146</v>
      </c>
      <c r="C7" s="914">
        <v>5848489</v>
      </c>
      <c r="D7" s="135">
        <f t="shared" ref="D7:D34" si="0">SUM(B7:C7)</f>
        <v>43251635</v>
      </c>
      <c r="E7" s="816"/>
      <c r="F7" s="817"/>
      <c r="G7" s="77"/>
      <c r="I7" s="77"/>
      <c r="J7" s="77"/>
    </row>
    <row r="8" spans="1:10" ht="25.15" customHeight="1">
      <c r="A8" s="744" t="s">
        <v>678</v>
      </c>
      <c r="B8" s="915">
        <v>77562386</v>
      </c>
      <c r="C8" s="915">
        <v>11567298</v>
      </c>
      <c r="D8" s="121">
        <f t="shared" si="0"/>
        <v>89129684</v>
      </c>
      <c r="E8" s="787"/>
      <c r="F8" s="77"/>
      <c r="G8" s="77"/>
      <c r="I8" s="77"/>
      <c r="J8" s="77"/>
    </row>
    <row r="9" spans="1:10" ht="25.15" customHeight="1">
      <c r="A9" s="744" t="s">
        <v>703</v>
      </c>
      <c r="B9" s="915">
        <v>20048295</v>
      </c>
      <c r="C9" s="915">
        <v>3212400</v>
      </c>
      <c r="D9" s="121">
        <f t="shared" si="0"/>
        <v>23260695</v>
      </c>
      <c r="E9" s="787"/>
      <c r="F9" s="77"/>
      <c r="G9" s="77"/>
      <c r="I9" s="77"/>
      <c r="J9" s="77"/>
    </row>
    <row r="10" spans="1:10" ht="25.15" customHeight="1">
      <c r="A10" s="744" t="s">
        <v>679</v>
      </c>
      <c r="B10" s="915">
        <v>9850246</v>
      </c>
      <c r="C10" s="915">
        <v>1992434</v>
      </c>
      <c r="D10" s="121">
        <f t="shared" si="0"/>
        <v>11842680</v>
      </c>
      <c r="E10" s="787"/>
      <c r="F10" s="77"/>
      <c r="G10" s="77"/>
      <c r="I10" s="77"/>
      <c r="J10" s="77"/>
    </row>
    <row r="11" spans="1:10" ht="25.15" customHeight="1">
      <c r="A11" s="744" t="s">
        <v>680</v>
      </c>
      <c r="B11" s="915">
        <v>43355882</v>
      </c>
      <c r="C11" s="915">
        <v>7230079</v>
      </c>
      <c r="D11" s="121">
        <f t="shared" si="0"/>
        <v>50585961</v>
      </c>
      <c r="E11" s="787"/>
      <c r="F11" s="77"/>
      <c r="G11" s="77"/>
      <c r="I11" s="77"/>
      <c r="J11" s="77"/>
    </row>
    <row r="12" spans="1:10" ht="25.15" customHeight="1">
      <c r="A12" s="744" t="s">
        <v>718</v>
      </c>
      <c r="B12" s="915">
        <v>28502585</v>
      </c>
      <c r="C12" s="915">
        <v>4326417</v>
      </c>
      <c r="D12" s="121">
        <f t="shared" si="0"/>
        <v>32829002</v>
      </c>
      <c r="E12" s="787"/>
      <c r="F12" s="77"/>
      <c r="G12" s="77"/>
      <c r="I12" s="77"/>
      <c r="J12" s="77"/>
    </row>
    <row r="13" spans="1:10" ht="25.15" customHeight="1">
      <c r="A13" s="744" t="s">
        <v>681</v>
      </c>
      <c r="B13" s="915">
        <v>66166018</v>
      </c>
      <c r="C13" s="915">
        <v>10713941</v>
      </c>
      <c r="D13" s="121">
        <f t="shared" si="0"/>
        <v>76879959</v>
      </c>
      <c r="E13" s="787"/>
      <c r="F13" s="77"/>
      <c r="G13" s="77"/>
      <c r="I13" s="77"/>
      <c r="J13" s="77"/>
    </row>
    <row r="14" spans="1:10" ht="25.15" customHeight="1">
      <c r="A14" s="744" t="s">
        <v>682</v>
      </c>
      <c r="B14" s="915">
        <v>6467490</v>
      </c>
      <c r="C14" s="915">
        <v>863241</v>
      </c>
      <c r="D14" s="121">
        <f t="shared" si="0"/>
        <v>7330731</v>
      </c>
      <c r="E14" s="787"/>
      <c r="F14" s="77"/>
      <c r="G14" s="77"/>
      <c r="I14" s="77"/>
      <c r="J14" s="77"/>
    </row>
    <row r="15" spans="1:10" ht="25.15" customHeight="1">
      <c r="A15" s="744" t="s">
        <v>683</v>
      </c>
      <c r="B15" s="915">
        <v>19178644</v>
      </c>
      <c r="C15" s="915">
        <v>2925404</v>
      </c>
      <c r="D15" s="121">
        <f t="shared" si="0"/>
        <v>22104048</v>
      </c>
      <c r="E15" s="787"/>
      <c r="F15" s="77"/>
      <c r="G15" s="77"/>
      <c r="I15" s="77"/>
      <c r="J15" s="77"/>
    </row>
    <row r="16" spans="1:10" ht="25.15" customHeight="1">
      <c r="A16" s="744" t="s">
        <v>684</v>
      </c>
      <c r="B16" s="915">
        <v>60095343</v>
      </c>
      <c r="C16" s="915">
        <v>7099525</v>
      </c>
      <c r="D16" s="121">
        <f t="shared" si="0"/>
        <v>67194868</v>
      </c>
      <c r="E16" s="787"/>
      <c r="F16" s="77"/>
      <c r="G16" s="77"/>
      <c r="I16" s="77"/>
      <c r="J16" s="77"/>
    </row>
    <row r="17" spans="1:10" ht="25.15" customHeight="1">
      <c r="A17" s="744" t="s">
        <v>685</v>
      </c>
      <c r="B17" s="915">
        <v>43639668</v>
      </c>
      <c r="C17" s="915">
        <v>6295775</v>
      </c>
      <c r="D17" s="121">
        <f t="shared" si="0"/>
        <v>49935443</v>
      </c>
      <c r="E17" s="787"/>
      <c r="F17" s="77"/>
      <c r="G17" s="77"/>
      <c r="I17" s="77"/>
      <c r="J17" s="77"/>
    </row>
    <row r="18" spans="1:10" ht="25.15" customHeight="1">
      <c r="A18" s="744" t="s">
        <v>686</v>
      </c>
      <c r="B18" s="915">
        <v>12037659</v>
      </c>
      <c r="C18" s="915">
        <v>1862212</v>
      </c>
      <c r="D18" s="121">
        <f t="shared" si="0"/>
        <v>13899871</v>
      </c>
      <c r="E18" s="787"/>
      <c r="F18" s="77"/>
      <c r="G18" s="77"/>
      <c r="I18" s="77"/>
      <c r="J18" s="77"/>
    </row>
    <row r="19" spans="1:10" ht="25.15" customHeight="1">
      <c r="A19" s="744" t="s">
        <v>687</v>
      </c>
      <c r="B19" s="915">
        <v>12706690</v>
      </c>
      <c r="C19" s="915">
        <v>1753669</v>
      </c>
      <c r="D19" s="121">
        <f t="shared" si="0"/>
        <v>14460359</v>
      </c>
      <c r="E19" s="787"/>
      <c r="F19" s="77"/>
      <c r="G19" s="77"/>
      <c r="I19" s="77"/>
      <c r="J19" s="77"/>
    </row>
    <row r="20" spans="1:10" ht="25.15" customHeight="1">
      <c r="A20" s="744" t="s">
        <v>688</v>
      </c>
      <c r="B20" s="915">
        <v>24453310</v>
      </c>
      <c r="C20" s="915">
        <v>2936965</v>
      </c>
      <c r="D20" s="121">
        <f t="shared" si="0"/>
        <v>27390275</v>
      </c>
      <c r="E20" s="787"/>
      <c r="F20" s="77"/>
      <c r="G20" s="77"/>
      <c r="I20" s="77"/>
      <c r="J20" s="77"/>
    </row>
    <row r="21" spans="1:10" ht="25.15" customHeight="1">
      <c r="A21" s="744" t="s">
        <v>689</v>
      </c>
      <c r="B21" s="915">
        <v>150304533</v>
      </c>
      <c r="C21" s="915">
        <v>24106424</v>
      </c>
      <c r="D21" s="121">
        <f t="shared" si="0"/>
        <v>174410957</v>
      </c>
      <c r="E21" s="787"/>
      <c r="F21" s="77"/>
      <c r="G21" s="77"/>
      <c r="I21" s="77"/>
      <c r="J21" s="77"/>
    </row>
    <row r="22" spans="1:10" ht="25.15" customHeight="1">
      <c r="A22" s="744" t="s">
        <v>690</v>
      </c>
      <c r="B22" s="915">
        <v>6931487</v>
      </c>
      <c r="C22" s="915">
        <v>961038</v>
      </c>
      <c r="D22" s="121">
        <f t="shared" si="0"/>
        <v>7892525</v>
      </c>
      <c r="E22" s="787"/>
      <c r="F22" s="77"/>
      <c r="G22" s="77"/>
      <c r="I22" s="77"/>
      <c r="J22" s="77"/>
    </row>
    <row r="23" spans="1:10" ht="25.15" customHeight="1">
      <c r="A23" s="744" t="s">
        <v>691</v>
      </c>
      <c r="B23" s="915">
        <v>16705157</v>
      </c>
      <c r="C23" s="915">
        <v>2654967</v>
      </c>
      <c r="D23" s="121">
        <f t="shared" si="0"/>
        <v>19360124</v>
      </c>
      <c r="E23" s="787"/>
      <c r="F23" s="77"/>
      <c r="G23" s="77"/>
      <c r="I23" s="77"/>
      <c r="J23" s="77"/>
    </row>
    <row r="24" spans="1:10" ht="25.15" customHeight="1">
      <c r="A24" s="744" t="s">
        <v>692</v>
      </c>
      <c r="B24" s="915">
        <v>56172015</v>
      </c>
      <c r="C24" s="915">
        <v>7443097</v>
      </c>
      <c r="D24" s="121">
        <f t="shared" si="0"/>
        <v>63615112</v>
      </c>
      <c r="E24" s="787"/>
      <c r="F24" s="77"/>
      <c r="G24" s="77"/>
      <c r="I24" s="77"/>
      <c r="J24" s="77"/>
    </row>
    <row r="25" spans="1:10" ht="25.15" customHeight="1">
      <c r="A25" s="744" t="s">
        <v>693</v>
      </c>
      <c r="B25" s="915">
        <v>27596410</v>
      </c>
      <c r="C25" s="915">
        <v>3413192</v>
      </c>
      <c r="D25" s="121">
        <f t="shared" si="0"/>
        <v>31009602</v>
      </c>
      <c r="E25" s="787"/>
      <c r="F25" s="77"/>
      <c r="G25" s="77"/>
      <c r="I25" s="77"/>
      <c r="J25" s="77"/>
    </row>
    <row r="26" spans="1:10" ht="25.15" customHeight="1">
      <c r="A26" s="744" t="s">
        <v>694</v>
      </c>
      <c r="B26" s="915">
        <v>31267741</v>
      </c>
      <c r="C26" s="915">
        <v>4686728</v>
      </c>
      <c r="D26" s="121">
        <f t="shared" si="0"/>
        <v>35954469</v>
      </c>
      <c r="E26" s="787"/>
      <c r="F26" s="77"/>
      <c r="G26" s="77"/>
      <c r="I26" s="77"/>
      <c r="J26" s="77"/>
    </row>
    <row r="27" spans="1:10" ht="25.15" customHeight="1">
      <c r="A27" s="744" t="s">
        <v>695</v>
      </c>
      <c r="B27" s="915">
        <v>28160925</v>
      </c>
      <c r="C27" s="915">
        <v>3409431</v>
      </c>
      <c r="D27" s="121">
        <f t="shared" si="0"/>
        <v>31570356</v>
      </c>
      <c r="E27" s="787"/>
      <c r="F27" s="77"/>
      <c r="G27" s="77"/>
      <c r="I27" s="77"/>
      <c r="J27" s="77"/>
    </row>
    <row r="28" spans="1:10" ht="25.15" customHeight="1">
      <c r="A28" s="744" t="s">
        <v>696</v>
      </c>
      <c r="B28" s="915">
        <v>20196356</v>
      </c>
      <c r="C28" s="915">
        <v>2305507</v>
      </c>
      <c r="D28" s="121">
        <f t="shared" si="0"/>
        <v>22501863</v>
      </c>
      <c r="E28" s="787"/>
      <c r="F28" s="77"/>
      <c r="G28" s="77"/>
      <c r="I28" s="77"/>
      <c r="J28" s="77"/>
    </row>
    <row r="29" spans="1:10" ht="25.15" customHeight="1">
      <c r="A29" s="744" t="s">
        <v>697</v>
      </c>
      <c r="B29" s="915">
        <v>60811965</v>
      </c>
      <c r="C29" s="915">
        <v>9443975</v>
      </c>
      <c r="D29" s="121">
        <f t="shared" si="0"/>
        <v>70255940</v>
      </c>
      <c r="E29" s="787"/>
      <c r="F29" s="77"/>
      <c r="G29" s="77"/>
      <c r="I29" s="77"/>
      <c r="J29" s="77"/>
    </row>
    <row r="30" spans="1:10" ht="25.15" customHeight="1">
      <c r="A30" s="744" t="s">
        <v>698</v>
      </c>
      <c r="B30" s="915">
        <v>38844397</v>
      </c>
      <c r="C30" s="915">
        <v>4239042</v>
      </c>
      <c r="D30" s="121">
        <f t="shared" si="0"/>
        <v>43083439</v>
      </c>
      <c r="E30" s="787"/>
      <c r="F30" s="77"/>
      <c r="G30" s="77"/>
      <c r="I30" s="77"/>
      <c r="J30" s="77"/>
    </row>
    <row r="31" spans="1:10" ht="25.15" customHeight="1">
      <c r="A31" s="744" t="s">
        <v>699</v>
      </c>
      <c r="B31" s="915">
        <v>39422813</v>
      </c>
      <c r="C31" s="915">
        <v>4722992</v>
      </c>
      <c r="D31" s="121">
        <f t="shared" si="0"/>
        <v>44145805</v>
      </c>
      <c r="E31" s="787"/>
      <c r="F31" s="77"/>
      <c r="G31" s="77"/>
      <c r="I31" s="77"/>
      <c r="J31" s="77"/>
    </row>
    <row r="32" spans="1:10" ht="25.15" customHeight="1">
      <c r="A32" s="744" t="s">
        <v>700</v>
      </c>
      <c r="B32" s="915">
        <v>14167195</v>
      </c>
      <c r="C32" s="915">
        <v>2181088</v>
      </c>
      <c r="D32" s="121">
        <f t="shared" si="0"/>
        <v>16348283</v>
      </c>
      <c r="E32" s="787"/>
      <c r="F32" s="77"/>
      <c r="G32" s="77"/>
      <c r="I32" s="77" t="s">
        <v>626</v>
      </c>
      <c r="J32" s="77"/>
    </row>
    <row r="33" spans="1:21" ht="25.15" customHeight="1">
      <c r="A33" s="744" t="s">
        <v>701</v>
      </c>
      <c r="B33" s="915">
        <v>28830965</v>
      </c>
      <c r="C33" s="915">
        <v>4320585</v>
      </c>
      <c r="D33" s="121">
        <f t="shared" si="0"/>
        <v>33151550</v>
      </c>
      <c r="E33" s="787"/>
      <c r="F33" s="77"/>
      <c r="G33" s="77"/>
      <c r="I33" s="787"/>
      <c r="J33" s="77"/>
      <c r="K33" s="787"/>
    </row>
    <row r="34" spans="1:21" ht="25.15" customHeight="1" thickBot="1">
      <c r="A34" s="745" t="s">
        <v>702</v>
      </c>
      <c r="B34" s="915">
        <v>79126333</v>
      </c>
      <c r="C34" s="915">
        <v>7703014</v>
      </c>
      <c r="D34" s="122">
        <f t="shared" si="0"/>
        <v>86829347</v>
      </c>
      <c r="E34" s="787"/>
      <c r="F34" s="77"/>
      <c r="G34" s="77"/>
      <c r="I34" s="787"/>
      <c r="J34" s="77"/>
      <c r="K34" s="787"/>
    </row>
    <row r="35" spans="1:21" ht="25.15" customHeight="1" thickBot="1">
      <c r="A35" s="746" t="s">
        <v>2</v>
      </c>
      <c r="B35" s="812">
        <f>SUM(B7:B34)</f>
        <v>1060005654</v>
      </c>
      <c r="C35" s="813">
        <f>SUM(C7:C34)</f>
        <v>150218929</v>
      </c>
      <c r="D35" s="774">
        <f>SUM(D7:D34)</f>
        <v>1210224583</v>
      </c>
      <c r="E35" s="814"/>
      <c r="F35" s="78"/>
      <c r="G35" s="77"/>
      <c r="H35" s="77"/>
      <c r="I35" s="787"/>
      <c r="J35" s="77"/>
      <c r="K35" s="787"/>
      <c r="L35" s="788"/>
    </row>
    <row r="36" spans="1:21" ht="19.149999999999999" customHeight="1">
      <c r="A36" s="1310" t="s">
        <v>729</v>
      </c>
      <c r="B36" s="1310"/>
      <c r="C36" s="1310"/>
      <c r="D36" s="1310"/>
      <c r="E36" s="935"/>
      <c r="F36" s="33"/>
      <c r="K36" s="787"/>
    </row>
    <row r="37" spans="1:21" ht="44.45" customHeight="1">
      <c r="A37" s="1348" t="s">
        <v>752</v>
      </c>
      <c r="B37" s="1348"/>
      <c r="C37" s="1348"/>
      <c r="D37" s="1348"/>
      <c r="E37" s="934"/>
      <c r="F37" s="33"/>
      <c r="K37" s="787"/>
    </row>
    <row r="38" spans="1:21" ht="26.45" customHeight="1">
      <c r="A38" s="931"/>
      <c r="B38" s="931"/>
      <c r="C38" s="931"/>
      <c r="D38" s="931"/>
      <c r="E38" s="934"/>
      <c r="F38" s="33"/>
      <c r="K38" s="787"/>
    </row>
    <row r="39" spans="1:21" ht="36.6" customHeight="1" thickBot="1">
      <c r="A39" s="911" t="s">
        <v>722</v>
      </c>
      <c r="B39" s="912"/>
      <c r="C39" s="912"/>
      <c r="D39" s="37"/>
      <c r="E39" s="28"/>
      <c r="F39" s="28"/>
      <c r="G39" s="33"/>
      <c r="H39" s="33"/>
      <c r="I39" s="33"/>
      <c r="J39" s="33"/>
      <c r="K39" s="300"/>
      <c r="L39" s="33"/>
      <c r="M39" s="33"/>
      <c r="N39" s="33"/>
      <c r="O39" s="33"/>
      <c r="P39" s="33"/>
      <c r="Q39" s="33"/>
      <c r="R39" s="33"/>
      <c r="S39" s="33"/>
      <c r="T39" s="33"/>
      <c r="U39" s="33"/>
    </row>
    <row r="40" spans="1:21" ht="24" customHeight="1" thickBot="1">
      <c r="A40" s="34" t="s">
        <v>740</v>
      </c>
      <c r="B40" s="1335" t="str">
        <f>B3</f>
        <v>Date Updated:   05.02.19;    BY:  DRS</v>
      </c>
      <c r="C40" s="1336"/>
      <c r="D40" s="1336"/>
      <c r="E40" s="1337"/>
      <c r="I40" s="33"/>
      <c r="J40" s="33"/>
      <c r="K40" s="300"/>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7" t="s">
        <v>222</v>
      </c>
      <c r="G42" s="35"/>
    </row>
    <row r="43" spans="1:21" ht="42">
      <c r="A43" s="919" t="str">
        <f>A10</f>
        <v>Chipola College</v>
      </c>
      <c r="B43" s="920" t="s">
        <v>706</v>
      </c>
      <c r="C43" s="921">
        <v>200000</v>
      </c>
      <c r="D43" s="921"/>
      <c r="E43" s="748">
        <f t="shared" ref="E43:E56" si="1">C43+D43</f>
        <v>200000</v>
      </c>
    </row>
    <row r="44" spans="1:21" ht="42">
      <c r="A44" s="922" t="str">
        <f>A11</f>
        <v>Daytona State College</v>
      </c>
      <c r="B44" s="923" t="s">
        <v>712</v>
      </c>
      <c r="C44" s="921">
        <v>500000</v>
      </c>
      <c r="D44" s="921"/>
      <c r="E44" s="748">
        <f t="shared" si="1"/>
        <v>500000</v>
      </c>
      <c r="H44" s="33"/>
    </row>
    <row r="45" spans="1:21" ht="43.15" customHeight="1">
      <c r="A45" s="924" t="s">
        <v>680</v>
      </c>
      <c r="B45" s="923" t="s">
        <v>753</v>
      </c>
      <c r="C45" s="921"/>
      <c r="D45" s="921">
        <v>455000</v>
      </c>
      <c r="E45" s="748">
        <f t="shared" si="1"/>
        <v>455000</v>
      </c>
      <c r="H45" s="33"/>
    </row>
    <row r="46" spans="1:21" ht="62.45" customHeight="1">
      <c r="A46" s="924" t="s">
        <v>684</v>
      </c>
      <c r="B46" s="923" t="s">
        <v>707</v>
      </c>
      <c r="C46" s="921">
        <v>2500000</v>
      </c>
      <c r="D46" s="921"/>
      <c r="E46" s="748">
        <f t="shared" si="1"/>
        <v>2500000</v>
      </c>
      <c r="H46" s="33"/>
    </row>
    <row r="47" spans="1:21" ht="28.5" customHeight="1">
      <c r="A47" s="924" t="s">
        <v>684</v>
      </c>
      <c r="B47" s="926" t="s">
        <v>709</v>
      </c>
      <c r="C47" s="927">
        <v>650000</v>
      </c>
      <c r="D47" s="921"/>
      <c r="E47" s="748">
        <f t="shared" si="1"/>
        <v>650000</v>
      </c>
      <c r="H47" s="33"/>
    </row>
    <row r="48" spans="1:21" ht="48" customHeight="1">
      <c r="A48" s="924" t="s">
        <v>727</v>
      </c>
      <c r="B48" s="923" t="s">
        <v>754</v>
      </c>
      <c r="C48" s="921"/>
      <c r="D48" s="921">
        <v>100000</v>
      </c>
      <c r="E48" s="748">
        <f t="shared" si="1"/>
        <v>100000</v>
      </c>
      <c r="H48" s="33"/>
    </row>
    <row r="49" spans="1:8" ht="41.25" customHeight="1">
      <c r="A49" s="924" t="s">
        <v>688</v>
      </c>
      <c r="B49" s="923" t="s">
        <v>756</v>
      </c>
      <c r="C49" s="921"/>
      <c r="D49" s="921">
        <v>2150000</v>
      </c>
      <c r="E49" s="748">
        <f t="shared" si="1"/>
        <v>2150000</v>
      </c>
      <c r="H49" s="33"/>
    </row>
    <row r="50" spans="1:8" ht="42.75" customHeight="1">
      <c r="A50" s="924" t="s">
        <v>688</v>
      </c>
      <c r="B50" s="923" t="s">
        <v>757</v>
      </c>
      <c r="C50" s="921"/>
      <c r="D50" s="921">
        <v>439500</v>
      </c>
      <c r="E50" s="748">
        <f t="shared" si="1"/>
        <v>439500</v>
      </c>
      <c r="H50" s="33"/>
    </row>
    <row r="51" spans="1:8" ht="27.75" customHeight="1">
      <c r="A51" s="924" t="s">
        <v>689</v>
      </c>
      <c r="B51" s="923" t="s">
        <v>755</v>
      </c>
      <c r="C51" s="921"/>
      <c r="D51" s="921">
        <v>50000</v>
      </c>
      <c r="E51" s="748">
        <f t="shared" si="1"/>
        <v>50000</v>
      </c>
      <c r="H51" s="33"/>
    </row>
    <row r="52" spans="1:8">
      <c r="A52" s="924" t="str">
        <f>A25</f>
        <v>Pasco-Hernando State College</v>
      </c>
      <c r="B52" s="923" t="s">
        <v>708</v>
      </c>
      <c r="C52" s="921">
        <v>2306271</v>
      </c>
      <c r="D52" s="921"/>
      <c r="E52" s="748">
        <f t="shared" si="1"/>
        <v>2306271</v>
      </c>
      <c r="H52" s="33"/>
    </row>
    <row r="53" spans="1:8" ht="63">
      <c r="A53" s="925" t="s">
        <v>695</v>
      </c>
      <c r="B53" s="926" t="s">
        <v>728</v>
      </c>
      <c r="C53" s="927">
        <v>2540288</v>
      </c>
      <c r="D53" s="927"/>
      <c r="E53" s="748">
        <f t="shared" si="1"/>
        <v>2540288</v>
      </c>
      <c r="H53" s="33"/>
    </row>
    <row r="54" spans="1:8" ht="42">
      <c r="A54" s="928" t="str">
        <f>A29</f>
        <v>St. Petersburg College</v>
      </c>
      <c r="B54" s="923" t="s">
        <v>710</v>
      </c>
      <c r="C54" s="921">
        <v>615000</v>
      </c>
      <c r="D54" s="921"/>
      <c r="E54" s="748">
        <f t="shared" si="1"/>
        <v>615000</v>
      </c>
      <c r="H54" s="33"/>
    </row>
    <row r="55" spans="1:8" ht="62.45" customHeight="1">
      <c r="A55" s="928" t="str">
        <f>A32</f>
        <v>South Florida State College</v>
      </c>
      <c r="B55" s="923" t="s">
        <v>713</v>
      </c>
      <c r="C55" s="921">
        <v>126525</v>
      </c>
      <c r="D55" s="921"/>
      <c r="E55" s="748">
        <f t="shared" si="1"/>
        <v>126525</v>
      </c>
      <c r="H55" s="33"/>
    </row>
    <row r="56" spans="1:8" ht="86.25" customHeight="1" thickBot="1">
      <c r="A56" s="928" t="s">
        <v>759</v>
      </c>
      <c r="B56" s="932" t="s">
        <v>758</v>
      </c>
      <c r="C56" s="933"/>
      <c r="D56" s="933">
        <v>50000</v>
      </c>
      <c r="E56" s="748">
        <f t="shared" si="1"/>
        <v>50000</v>
      </c>
      <c r="H56" s="33"/>
    </row>
    <row r="57" spans="1:8" ht="24.6" customHeight="1" thickBot="1">
      <c r="A57" s="112" t="s">
        <v>222</v>
      </c>
      <c r="B57" s="743"/>
      <c r="C57" s="810">
        <f>SUM(C43:C56)</f>
        <v>9438084</v>
      </c>
      <c r="D57" s="810">
        <f>SUM(D43:D56)</f>
        <v>3244500</v>
      </c>
      <c r="E57" s="811">
        <f>SUM(E43:E56)</f>
        <v>12682584</v>
      </c>
      <c r="H57" s="33"/>
    </row>
    <row r="58" spans="1:8" ht="25.15" customHeight="1">
      <c r="A58" s="29" t="s">
        <v>704</v>
      </c>
      <c r="H58" s="33"/>
    </row>
    <row r="59" spans="1:8" ht="25.15" customHeight="1">
      <c r="D59" s="77"/>
      <c r="H59" s="33"/>
    </row>
    <row r="60" spans="1:8" ht="30.6" customHeight="1" thickBot="1">
      <c r="A60" s="911" t="s">
        <v>722</v>
      </c>
      <c r="B60" s="912"/>
      <c r="C60" s="912"/>
      <c r="D60" s="37"/>
      <c r="E60" s="28"/>
      <c r="H60" s="33"/>
    </row>
    <row r="61" spans="1:8" ht="40.9" customHeight="1" thickBot="1">
      <c r="A61" s="74" t="s">
        <v>741</v>
      </c>
      <c r="B61" s="749" t="str">
        <f>B3</f>
        <v>Date Updated:   05.02.19;    BY:  DRS</v>
      </c>
      <c r="C61" s="71"/>
      <c r="D61" s="71"/>
      <c r="F61" s="33"/>
      <c r="G61" s="33"/>
      <c r="H61" s="33"/>
    </row>
    <row r="62" spans="1:8" ht="45" customHeight="1" thickBot="1">
      <c r="A62" s="1340" t="s">
        <v>624</v>
      </c>
      <c r="B62" s="1341"/>
      <c r="C62" s="750"/>
      <c r="H62" s="33"/>
    </row>
    <row r="63" spans="1:8" ht="37.15" customHeight="1" thickBot="1">
      <c r="A63" s="694" t="s">
        <v>602</v>
      </c>
      <c r="B63" s="874" t="s">
        <v>2</v>
      </c>
      <c r="C63" s="35"/>
      <c r="D63" s="38"/>
      <c r="H63" s="33"/>
    </row>
    <row r="64" spans="1:8" ht="25.15" customHeight="1">
      <c r="A64" s="782" t="str">
        <f>A11</f>
        <v>Daytona State College</v>
      </c>
      <c r="B64" s="916">
        <v>70000</v>
      </c>
      <c r="C64" s="751"/>
      <c r="H64" s="33"/>
    </row>
    <row r="65" spans="1:13" ht="25.15" customHeight="1" thickBot="1">
      <c r="A65" s="786" t="str">
        <f>A33</f>
        <v>Tallahassee Community College</v>
      </c>
      <c r="B65" s="917">
        <v>25000</v>
      </c>
      <c r="C65" s="751"/>
      <c r="H65" s="33"/>
    </row>
    <row r="66" spans="1:13" ht="25.15" customHeight="1" thickBot="1">
      <c r="A66" s="735" t="s">
        <v>2</v>
      </c>
      <c r="B66" s="918">
        <f>SUM(B64:B65)</f>
        <v>95000</v>
      </c>
      <c r="C66" s="752"/>
    </row>
    <row r="67" spans="1:13" ht="24.6" customHeight="1">
      <c r="A67" s="937"/>
      <c r="B67" s="936"/>
      <c r="C67" s="936"/>
      <c r="D67" s="33"/>
      <c r="E67" s="33"/>
      <c r="F67" s="33"/>
      <c r="G67" s="28"/>
      <c r="H67" s="33"/>
    </row>
    <row r="68" spans="1:13" ht="31.9" customHeight="1" thickBot="1">
      <c r="A68" s="911" t="s">
        <v>730</v>
      </c>
      <c r="B68" s="912"/>
      <c r="C68" s="912"/>
      <c r="D68" s="37"/>
      <c r="E68" s="28"/>
      <c r="F68" s="33"/>
      <c r="G68" s="28"/>
      <c r="H68" s="33"/>
    </row>
    <row r="69" spans="1:13" ht="44.45" customHeight="1" thickBot="1">
      <c r="A69" s="39" t="s">
        <v>742</v>
      </c>
      <c r="B69" s="1344" t="str">
        <f>B3</f>
        <v>Date Updated:   05.02.19;    BY:  DRS</v>
      </c>
      <c r="C69" s="1345"/>
      <c r="D69" s="1346"/>
      <c r="E69" s="1347"/>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89">
        <v>23593043.425075825</v>
      </c>
      <c r="C71" s="789">
        <f t="shared" ref="C71:C98" si="3">B71*0.05</f>
        <v>1179652.1712537913</v>
      </c>
      <c r="D71" s="790">
        <f t="shared" ref="D71:D98" si="4">IF(C71&gt;500000,0,1)</f>
        <v>0</v>
      </c>
      <c r="E71" s="790">
        <f t="shared" ref="E71:E98" si="5">IF(D71&lt;1,0,B71*0.02)</f>
        <v>0</v>
      </c>
      <c r="F71" s="789">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28" t="str">
        <f t="shared" si="2"/>
        <v>Chipola College</v>
      </c>
      <c r="B74" s="729">
        <v>2858378.8260087394</v>
      </c>
      <c r="C74" s="729">
        <f t="shared" si="3"/>
        <v>142918.94130043697</v>
      </c>
      <c r="D74" s="729">
        <f t="shared" si="4"/>
        <v>1</v>
      </c>
      <c r="E74" s="729">
        <f t="shared" si="5"/>
        <v>57167.576520174793</v>
      </c>
      <c r="F74" s="729">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28" t="str">
        <f t="shared" si="2"/>
        <v>Florida Keys Community College</v>
      </c>
      <c r="B78" s="729">
        <v>2109183.2869962086</v>
      </c>
      <c r="C78" s="729">
        <f t="shared" si="3"/>
        <v>105459.16434981044</v>
      </c>
      <c r="D78" s="729">
        <f t="shared" si="4"/>
        <v>1</v>
      </c>
      <c r="E78" s="729">
        <f t="shared" si="5"/>
        <v>42183.665739924174</v>
      </c>
      <c r="F78" s="729">
        <f t="shared" si="6"/>
        <v>147642.83008973461</v>
      </c>
    </row>
    <row r="79" spans="1:13" ht="25.15" customHeight="1">
      <c r="A79" s="728" t="str">
        <f t="shared" si="2"/>
        <v>Gulf Coast State College</v>
      </c>
      <c r="B79" s="729">
        <v>7028316.3163952716</v>
      </c>
      <c r="C79" s="729">
        <f t="shared" si="3"/>
        <v>351415.81581976358</v>
      </c>
      <c r="D79" s="729">
        <f t="shared" si="4"/>
        <v>1</v>
      </c>
      <c r="E79" s="729">
        <f t="shared" si="5"/>
        <v>140566.32632790544</v>
      </c>
      <c r="F79" s="729">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28" t="str">
        <f t="shared" si="2"/>
        <v>Florida Gateway College</v>
      </c>
      <c r="B82" s="729">
        <v>4809916.9861209113</v>
      </c>
      <c r="C82" s="729">
        <f t="shared" si="3"/>
        <v>240495.84930604557</v>
      </c>
      <c r="D82" s="729">
        <f t="shared" si="4"/>
        <v>1</v>
      </c>
      <c r="E82" s="729">
        <f t="shared" si="5"/>
        <v>96198.339722418226</v>
      </c>
      <c r="F82" s="729">
        <f t="shared" si="6"/>
        <v>336694.18902846379</v>
      </c>
    </row>
    <row r="83" spans="1:6" ht="25.15" customHeight="1">
      <c r="A83" s="728" t="str">
        <f t="shared" si="2"/>
        <v>Lake-Sumter State College</v>
      </c>
      <c r="B83" s="729">
        <v>6899632.3018533867</v>
      </c>
      <c r="C83" s="729">
        <f t="shared" si="3"/>
        <v>344981.61509266938</v>
      </c>
      <c r="D83" s="729">
        <f t="shared" si="4"/>
        <v>1</v>
      </c>
      <c r="E83" s="729">
        <f t="shared" si="5"/>
        <v>137992.64603706772</v>
      </c>
      <c r="F83" s="729">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28" t="str">
        <f t="shared" si="2"/>
        <v>North Florida Community College</v>
      </c>
      <c r="B86" s="729">
        <v>1498882.3726073494</v>
      </c>
      <c r="C86" s="729">
        <f t="shared" si="3"/>
        <v>74944.118630367477</v>
      </c>
      <c r="D86" s="729">
        <f t="shared" si="4"/>
        <v>1</v>
      </c>
      <c r="E86" s="729">
        <f t="shared" si="5"/>
        <v>29977.64745214699</v>
      </c>
      <c r="F86" s="729">
        <f t="shared" si="6"/>
        <v>104921.76608251447</v>
      </c>
    </row>
    <row r="87" spans="1:6" ht="25.15" customHeight="1">
      <c r="A87" s="728" t="str">
        <f t="shared" si="2"/>
        <v>Northwest Florida State College</v>
      </c>
      <c r="B87" s="729">
        <v>8541676.6193891671</v>
      </c>
      <c r="C87" s="729">
        <f t="shared" si="3"/>
        <v>427083.83096945839</v>
      </c>
      <c r="D87" s="729">
        <f t="shared" si="4"/>
        <v>1</v>
      </c>
      <c r="E87" s="729">
        <f t="shared" si="5"/>
        <v>170833.53238778334</v>
      </c>
      <c r="F87" s="729">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28" t="str">
        <f t="shared" si="2"/>
        <v>St. Johns River State College</v>
      </c>
      <c r="B92" s="729">
        <v>9230809.7528542113</v>
      </c>
      <c r="C92" s="729">
        <f t="shared" si="3"/>
        <v>461540.48764271056</v>
      </c>
      <c r="D92" s="729">
        <f t="shared" si="4"/>
        <v>1</v>
      </c>
      <c r="E92" s="729">
        <f t="shared" si="5"/>
        <v>184616.19505708423</v>
      </c>
      <c r="F92" s="729">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28" t="str">
        <f t="shared" si="2"/>
        <v>South Florida State College</v>
      </c>
      <c r="B96" s="729">
        <v>3894630.4123492073</v>
      </c>
      <c r="C96" s="729">
        <f t="shared" si="3"/>
        <v>194731.52061746037</v>
      </c>
      <c r="D96" s="729">
        <f t="shared" si="4"/>
        <v>1</v>
      </c>
      <c r="E96" s="729">
        <f t="shared" si="5"/>
        <v>77892.608246984149</v>
      </c>
      <c r="F96" s="729">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38">
        <v>92409079.108470723</v>
      </c>
      <c r="C98" s="47">
        <f t="shared" si="3"/>
        <v>4620453.9554235367</v>
      </c>
      <c r="D98" s="47">
        <f t="shared" si="4"/>
        <v>0</v>
      </c>
      <c r="E98" s="47">
        <f t="shared" si="5"/>
        <v>0</v>
      </c>
      <c r="F98" s="47">
        <f t="shared" si="6"/>
        <v>4620453.9554235367</v>
      </c>
    </row>
    <row r="99" spans="1:54" ht="25.15" customHeight="1" thickBot="1">
      <c r="A99" s="112" t="s">
        <v>2</v>
      </c>
      <c r="B99" s="791">
        <f>SUM(B71:B98)</f>
        <v>786868199.56060445</v>
      </c>
      <c r="C99" s="791">
        <f>SUM(C71:C98)</f>
        <v>39343409.978030227</v>
      </c>
      <c r="D99" s="113">
        <f>SUM(D71:D98)</f>
        <v>9</v>
      </c>
      <c r="E99" s="791">
        <f>SUM(E71:E98)</f>
        <v>937428.53749148909</v>
      </c>
      <c r="F99" s="792">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19" t="s">
        <v>744</v>
      </c>
      <c r="B102" s="1319"/>
      <c r="C102" s="1319"/>
      <c r="D102" s="1319"/>
      <c r="E102" s="1319"/>
      <c r="F102" s="1319"/>
      <c r="G102" s="1319"/>
      <c r="H102" s="1319"/>
      <c r="I102" s="1319"/>
      <c r="J102" s="1319"/>
      <c r="K102" s="1319"/>
      <c r="L102" s="1319"/>
      <c r="M102" s="1319"/>
      <c r="N102" s="1319"/>
      <c r="O102" s="1319"/>
      <c r="P102" s="1319"/>
      <c r="Q102" s="1319"/>
      <c r="R102" s="1319"/>
    </row>
    <row r="103" spans="1:54" ht="19.899999999999999" customHeight="1">
      <c r="A103" s="1317" t="s">
        <v>745</v>
      </c>
      <c r="B103" s="1317"/>
      <c r="C103" s="1317"/>
      <c r="D103" s="1317"/>
      <c r="E103" s="1317"/>
      <c r="F103" s="1317"/>
      <c r="G103" s="1317"/>
      <c r="H103" s="1317"/>
      <c r="I103" s="1317"/>
      <c r="J103" s="1317"/>
      <c r="K103" s="1317"/>
      <c r="L103" s="1317"/>
      <c r="M103" s="1317"/>
      <c r="N103" s="1317"/>
      <c r="O103" s="1317"/>
      <c r="P103" s="1317"/>
      <c r="Q103" s="1317"/>
      <c r="R103" s="1317"/>
      <c r="S103" s="930"/>
    </row>
    <row r="104" spans="1:54" ht="19.899999999999999" customHeight="1">
      <c r="A104" s="876" t="s">
        <v>746</v>
      </c>
      <c r="B104" s="876"/>
      <c r="C104" s="876"/>
      <c r="D104" s="876"/>
      <c r="E104" s="876"/>
      <c r="F104" s="876"/>
      <c r="G104" s="876"/>
      <c r="H104" s="876"/>
      <c r="I104" s="876"/>
      <c r="J104" s="876"/>
      <c r="K104" s="876"/>
      <c r="L104" s="876"/>
      <c r="M104" s="876"/>
      <c r="N104" s="876"/>
      <c r="O104" s="876"/>
      <c r="P104" s="876"/>
      <c r="Q104" s="876"/>
      <c r="R104" s="876"/>
    </row>
    <row r="105" spans="1:54" ht="19.899999999999999" customHeight="1">
      <c r="A105" s="1317" t="s">
        <v>611</v>
      </c>
      <c r="B105" s="1317"/>
      <c r="C105" s="1317"/>
      <c r="D105" s="1317"/>
      <c r="E105" s="1317"/>
      <c r="F105" s="1317"/>
      <c r="G105" s="1317"/>
      <c r="H105" s="1317"/>
      <c r="I105" s="1317"/>
      <c r="J105" s="1317"/>
      <c r="K105" s="1317"/>
      <c r="L105" s="1317"/>
      <c r="M105" s="1317"/>
      <c r="N105" s="1317"/>
      <c r="O105" s="1317"/>
      <c r="P105" s="1317"/>
      <c r="Q105" s="1317"/>
      <c r="R105" s="1317"/>
    </row>
    <row r="106" spans="1:54" ht="19.899999999999999" customHeight="1">
      <c r="A106" s="1317"/>
      <c r="B106" s="1317"/>
      <c r="C106" s="1317"/>
      <c r="D106" s="1317"/>
      <c r="E106" s="1317"/>
      <c r="F106" s="1317"/>
      <c r="G106" s="1317"/>
    </row>
    <row r="107" spans="1:54" ht="32.450000000000003" customHeight="1" thickBot="1">
      <c r="E107" s="910"/>
      <c r="F107" s="910"/>
      <c r="G107" s="910"/>
      <c r="H107" s="37"/>
      <c r="I107" s="37"/>
      <c r="J107" s="37"/>
      <c r="K107" s="37"/>
    </row>
    <row r="108" spans="1:54" ht="43.15" customHeight="1" thickBot="1">
      <c r="A108" s="76" t="s">
        <v>747</v>
      </c>
      <c r="B108" s="1312" t="s">
        <v>760</v>
      </c>
      <c r="C108" s="1313"/>
      <c r="D108" s="1314"/>
      <c r="E108" s="1315" t="s">
        <v>266</v>
      </c>
      <c r="F108" s="1315"/>
      <c r="G108" s="1315"/>
      <c r="H108" s="1315"/>
      <c r="I108" s="1315"/>
      <c r="J108" s="1315"/>
      <c r="K108" s="1315"/>
      <c r="L108" s="1315"/>
      <c r="M108" s="1315"/>
      <c r="N108" s="1315"/>
      <c r="O108" s="1315"/>
      <c r="P108" s="1315"/>
      <c r="Q108" s="1315"/>
      <c r="R108" s="1315"/>
      <c r="S108" s="1316"/>
      <c r="T108" s="51"/>
      <c r="U108" s="51"/>
      <c r="AC108" s="31"/>
      <c r="AD108" s="50"/>
      <c r="AK108" s="740"/>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8" t="s">
        <v>528</v>
      </c>
      <c r="U109" s="52"/>
      <c r="V109" s="73">
        <v>20</v>
      </c>
      <c r="W109" s="126">
        <v>21</v>
      </c>
      <c r="X109" s="126">
        <v>22</v>
      </c>
      <c r="Y109" s="105"/>
      <c r="Z109" s="126">
        <v>23</v>
      </c>
      <c r="AA109" s="126">
        <v>24</v>
      </c>
      <c r="AB109" s="127">
        <v>25</v>
      </c>
      <c r="AC109" s="54"/>
      <c r="AD109" s="50"/>
    </row>
    <row r="110" spans="1:54" ht="29.45" customHeight="1" thickBot="1">
      <c r="A110" s="90" t="s">
        <v>574</v>
      </c>
      <c r="B110" s="1350" t="s">
        <v>261</v>
      </c>
      <c r="C110" s="1351"/>
      <c r="D110" s="1352"/>
      <c r="E110" s="53"/>
      <c r="F110" s="1354" t="s">
        <v>257</v>
      </c>
      <c r="G110" s="1354"/>
      <c r="H110" s="1354"/>
      <c r="I110" s="1354"/>
      <c r="J110" s="1354"/>
      <c r="K110" s="1354"/>
      <c r="L110" s="1354"/>
      <c r="M110" s="1354"/>
      <c r="N110" s="1354"/>
      <c r="O110" s="1354"/>
      <c r="P110" s="1354"/>
      <c r="Q110" s="1355" t="s">
        <v>258</v>
      </c>
      <c r="R110" s="1356"/>
      <c r="S110" s="1357"/>
      <c r="T110" s="1339"/>
      <c r="U110" s="55"/>
      <c r="V110" s="56"/>
      <c r="W110" s="57"/>
      <c r="X110" s="58"/>
      <c r="Y110" s="106"/>
      <c r="Z110" s="1360"/>
      <c r="AA110" s="1361"/>
      <c r="AB110" s="1362"/>
      <c r="AC110" s="31"/>
      <c r="AD110" s="131" t="s">
        <v>751</v>
      </c>
      <c r="AF110" s="49"/>
      <c r="AG110" s="50"/>
    </row>
    <row r="111" spans="1:54" ht="66" customHeight="1" thickBot="1">
      <c r="A111" s="59"/>
      <c r="B111" s="1327" t="s">
        <v>617</v>
      </c>
      <c r="C111" s="1328"/>
      <c r="D111" s="1329"/>
      <c r="E111" s="1327" t="s">
        <v>216</v>
      </c>
      <c r="F111" s="1328"/>
      <c r="G111" s="1329"/>
      <c r="H111" s="1327" t="s">
        <v>253</v>
      </c>
      <c r="I111" s="1328"/>
      <c r="J111" s="1329"/>
      <c r="K111" s="1330" t="s">
        <v>629</v>
      </c>
      <c r="L111" s="1330"/>
      <c r="M111" s="1330"/>
      <c r="N111" s="1331" t="s">
        <v>249</v>
      </c>
      <c r="O111" s="1332"/>
      <c r="P111" s="1333"/>
      <c r="Q111" s="1331" t="s">
        <v>527</v>
      </c>
      <c r="R111" s="1332"/>
      <c r="S111" s="1333"/>
      <c r="T111" s="1358" t="s">
        <v>618</v>
      </c>
      <c r="U111" s="36"/>
      <c r="V111" s="1324" t="s">
        <v>254</v>
      </c>
      <c r="W111" s="1325"/>
      <c r="X111" s="1334"/>
      <c r="Y111" s="99"/>
      <c r="Z111" s="1324" t="s">
        <v>463</v>
      </c>
      <c r="AA111" s="1325"/>
      <c r="AB111" s="1326"/>
      <c r="AC111" s="37"/>
      <c r="AD111" s="72" t="s">
        <v>219</v>
      </c>
      <c r="AF111" s="31"/>
      <c r="AG111" s="33"/>
      <c r="AI111" s="1363" t="s">
        <v>731</v>
      </c>
      <c r="AJ111" s="1363"/>
      <c r="AK111" s="1363"/>
      <c r="AL111" s="1363"/>
      <c r="AM111" s="1363"/>
      <c r="AN111" s="1363"/>
      <c r="AO111" s="1363"/>
      <c r="AP111" s="37"/>
      <c r="AS111" s="37"/>
      <c r="AT111" s="37"/>
    </row>
    <row r="112" spans="1:54" ht="87" customHeight="1" thickBot="1">
      <c r="A112" s="65" t="s">
        <v>602</v>
      </c>
      <c r="B112" s="98" t="s">
        <v>252</v>
      </c>
      <c r="C112" s="738"/>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59"/>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1" t="str">
        <f t="shared" ref="A113:A140" si="7">A7</f>
        <v>Eastern Florida State College</v>
      </c>
      <c r="B113" s="877">
        <v>842</v>
      </c>
      <c r="C113" s="104"/>
      <c r="D113" s="753">
        <f t="shared" ref="D113:D140" si="8">B113+C113</f>
        <v>842</v>
      </c>
      <c r="E113" s="877">
        <v>5442.2391843558571</v>
      </c>
      <c r="F113" s="880">
        <v>195.1971277047675</v>
      </c>
      <c r="G113" s="753">
        <f t="shared" ref="G113:G140" si="9">E113+F113</f>
        <v>5637.4363120606249</v>
      </c>
      <c r="H113" s="883">
        <v>1829.526187401349</v>
      </c>
      <c r="I113" s="884">
        <v>41.504950495049506</v>
      </c>
      <c r="J113" s="753">
        <f>H113+I113</f>
        <v>1871.0311378963986</v>
      </c>
      <c r="K113" s="889">
        <v>250.42028018679119</v>
      </c>
      <c r="L113" s="890">
        <v>23.579719813208804</v>
      </c>
      <c r="M113" s="84">
        <f t="shared" ref="M113:M140" si="10">K113+L113</f>
        <v>274</v>
      </c>
      <c r="N113" s="889">
        <v>0</v>
      </c>
      <c r="O113" s="890">
        <v>0</v>
      </c>
      <c r="P113" s="84">
        <f t="shared" ref="P113:P140" si="11">N113+O113</f>
        <v>0</v>
      </c>
      <c r="Q113" s="889">
        <v>301.58792650918633</v>
      </c>
      <c r="R113" s="895">
        <v>8.0023330417031211</v>
      </c>
      <c r="S113" s="753">
        <f t="shared" ref="S113:S140" si="12">Q113+R113</f>
        <v>309.59025955088947</v>
      </c>
      <c r="T113" s="84">
        <f t="shared" ref="T113:T140" si="13">D113+G113+J113+M113+P113+S113</f>
        <v>8934.0577095079116</v>
      </c>
      <c r="V113" s="762">
        <f>X113-W113</f>
        <v>0</v>
      </c>
      <c r="W113" s="898">
        <v>0</v>
      </c>
      <c r="X113" s="899">
        <v>0</v>
      </c>
      <c r="Y113" s="130"/>
      <c r="Z113" s="766">
        <f>AB113-AA113</f>
        <v>0</v>
      </c>
      <c r="AA113" s="902">
        <v>0</v>
      </c>
      <c r="AB113" s="769">
        <f t="shared" ref="AB113:AB140" si="14">AG113</f>
        <v>0</v>
      </c>
      <c r="AD113" s="731" t="str">
        <f>A113</f>
        <v>Eastern Florida State College</v>
      </c>
      <c r="AE113" s="905">
        <v>0</v>
      </c>
      <c r="AF113" s="905">
        <v>0</v>
      </c>
      <c r="AG113" s="771">
        <f t="shared" ref="AG113:AG140" si="15">AE113+AF113</f>
        <v>0</v>
      </c>
      <c r="AI113" s="1353" t="s">
        <v>645</v>
      </c>
      <c r="AJ113" s="1353"/>
      <c r="AK113" s="1353"/>
      <c r="AL113" s="1353"/>
      <c r="AM113" s="1353"/>
      <c r="AN113" s="1353"/>
      <c r="AO113" s="70">
        <f>X141+AB141</f>
        <v>5115</v>
      </c>
      <c r="AP113" s="37"/>
      <c r="AR113" s="63"/>
      <c r="AS113" s="63"/>
      <c r="AT113" s="63"/>
      <c r="AU113" s="37"/>
      <c r="AY113" s="37"/>
      <c r="AZ113" s="37"/>
      <c r="BA113" s="37"/>
      <c r="BB113" s="37"/>
    </row>
    <row r="114" spans="1:54" ht="25.15" customHeight="1">
      <c r="A114" s="732" t="str">
        <f t="shared" si="7"/>
        <v>Broward College</v>
      </c>
      <c r="B114" s="878">
        <v>1306</v>
      </c>
      <c r="C114" s="97"/>
      <c r="D114" s="754">
        <f t="shared" si="8"/>
        <v>1306</v>
      </c>
      <c r="E114" s="878">
        <v>15151.729467277577</v>
      </c>
      <c r="F114" s="881">
        <v>566.41886069889915</v>
      </c>
      <c r="G114" s="754">
        <f t="shared" si="9"/>
        <v>15718.148327976476</v>
      </c>
      <c r="H114" s="885">
        <v>7135.5411761641835</v>
      </c>
      <c r="I114" s="886">
        <v>266.95138816543391</v>
      </c>
      <c r="J114" s="754">
        <f t="shared" ref="J114:J140" si="16">H114+I114</f>
        <v>7402.4925643296174</v>
      </c>
      <c r="K114" s="891">
        <v>1519.8398568552898</v>
      </c>
      <c r="L114" s="892">
        <v>157.16014314471033</v>
      </c>
      <c r="M114" s="758">
        <f t="shared" si="10"/>
        <v>1677</v>
      </c>
      <c r="N114" s="891">
        <v>26.075342465753426</v>
      </c>
      <c r="O114" s="892">
        <v>0.92465753424657549</v>
      </c>
      <c r="P114" s="758">
        <f t="shared" si="11"/>
        <v>27</v>
      </c>
      <c r="Q114" s="891">
        <v>370.17414248021106</v>
      </c>
      <c r="R114" s="896">
        <v>9.8258575197889186</v>
      </c>
      <c r="S114" s="754">
        <f t="shared" si="12"/>
        <v>380</v>
      </c>
      <c r="T114" s="85">
        <f t="shared" si="13"/>
        <v>26510.640892306095</v>
      </c>
      <c r="V114" s="763">
        <f t="shared" ref="V114:V140" si="17">X114-W114</f>
        <v>0</v>
      </c>
      <c r="W114" s="900">
        <v>0</v>
      </c>
      <c r="X114" s="901">
        <v>0</v>
      </c>
      <c r="Y114" s="130"/>
      <c r="Z114" s="767">
        <f t="shared" ref="Z114:Z140" si="18">AB114-AA114</f>
        <v>0</v>
      </c>
      <c r="AA114" s="903">
        <v>0</v>
      </c>
      <c r="AB114" s="769">
        <f t="shared" si="14"/>
        <v>0</v>
      </c>
      <c r="AD114" s="739" t="str">
        <f>A114</f>
        <v>Broward College</v>
      </c>
      <c r="AE114" s="906">
        <v>0</v>
      </c>
      <c r="AF114" s="906">
        <v>0</v>
      </c>
      <c r="AG114" s="772">
        <f t="shared" si="15"/>
        <v>0</v>
      </c>
      <c r="AI114" s="1353" t="s">
        <v>632</v>
      </c>
      <c r="AJ114" s="1353"/>
      <c r="AK114" s="1353"/>
      <c r="AL114" s="1353"/>
      <c r="AM114" s="1353"/>
      <c r="AN114" s="1353"/>
      <c r="AO114" s="908">
        <v>28445.8</v>
      </c>
      <c r="AP114" s="37"/>
      <c r="AR114" s="773"/>
      <c r="AS114" s="773"/>
      <c r="AT114" s="773"/>
      <c r="AU114" s="773"/>
      <c r="AV114" s="773"/>
      <c r="AW114" s="773"/>
      <c r="AX114" s="773"/>
      <c r="AY114" s="37"/>
      <c r="AZ114" s="37"/>
      <c r="BA114" s="37"/>
      <c r="BB114" s="37"/>
    </row>
    <row r="115" spans="1:54" ht="25.15" customHeight="1">
      <c r="A115" s="733" t="str">
        <f t="shared" si="7"/>
        <v>College of Central Florida</v>
      </c>
      <c r="B115" s="878">
        <v>339</v>
      </c>
      <c r="C115" s="97"/>
      <c r="D115" s="754">
        <f t="shared" si="8"/>
        <v>339</v>
      </c>
      <c r="E115" s="878">
        <v>2477.8378982671884</v>
      </c>
      <c r="F115" s="881">
        <v>102.42444568660332</v>
      </c>
      <c r="G115" s="754">
        <f t="shared" si="9"/>
        <v>2580.2623439537915</v>
      </c>
      <c r="H115" s="885">
        <v>1197.7795905049352</v>
      </c>
      <c r="I115" s="886">
        <v>37.097968839220165</v>
      </c>
      <c r="J115" s="754">
        <f t="shared" si="16"/>
        <v>1234.8775593441553</v>
      </c>
      <c r="K115" s="891">
        <v>116.76767676767676</v>
      </c>
      <c r="L115" s="892">
        <v>19.232323232323232</v>
      </c>
      <c r="M115" s="758">
        <f t="shared" si="10"/>
        <v>136</v>
      </c>
      <c r="N115" s="891">
        <v>0</v>
      </c>
      <c r="O115" s="892">
        <v>0</v>
      </c>
      <c r="P115" s="758">
        <f t="shared" si="11"/>
        <v>0</v>
      </c>
      <c r="Q115" s="891">
        <v>154.21632024634332</v>
      </c>
      <c r="R115" s="896">
        <v>3.6389530408006157</v>
      </c>
      <c r="S115" s="754">
        <f t="shared" si="12"/>
        <v>157.85527328714394</v>
      </c>
      <c r="T115" s="85">
        <f t="shared" si="13"/>
        <v>4447.995176585091</v>
      </c>
      <c r="V115" s="763">
        <f t="shared" si="17"/>
        <v>0</v>
      </c>
      <c r="W115" s="900">
        <v>0</v>
      </c>
      <c r="X115" s="901">
        <v>0</v>
      </c>
      <c r="Y115" s="130"/>
      <c r="Z115" s="767">
        <f t="shared" si="18"/>
        <v>6.55700325732899</v>
      </c>
      <c r="AA115" s="903">
        <v>26.44299674267101</v>
      </c>
      <c r="AB115" s="769">
        <f t="shared" si="14"/>
        <v>33</v>
      </c>
      <c r="AD115" s="733" t="str">
        <f t="shared" ref="AD115:AD140" si="19">A115</f>
        <v>College of Central Florida</v>
      </c>
      <c r="AE115" s="906">
        <v>16</v>
      </c>
      <c r="AF115" s="906">
        <v>17</v>
      </c>
      <c r="AG115" s="772">
        <f t="shared" si="15"/>
        <v>33</v>
      </c>
      <c r="AI115" s="1353" t="s">
        <v>633</v>
      </c>
      <c r="AJ115" s="1353"/>
      <c r="AK115" s="1353"/>
      <c r="AL115" s="1353"/>
      <c r="AM115" s="1353"/>
      <c r="AN115" s="1353"/>
      <c r="AO115" s="909">
        <v>5106</v>
      </c>
      <c r="AP115" s="37"/>
      <c r="AR115" s="37"/>
      <c r="AS115" s="37"/>
      <c r="AT115" s="37"/>
      <c r="AU115" s="37"/>
      <c r="AV115" s="37"/>
      <c r="AW115" s="37"/>
      <c r="AX115" s="37"/>
      <c r="AY115" s="37"/>
      <c r="AZ115" s="37"/>
      <c r="BA115" s="37"/>
      <c r="BB115" s="37"/>
    </row>
    <row r="116" spans="1:54" ht="25.15" customHeight="1">
      <c r="A116" s="733" t="str">
        <f t="shared" si="7"/>
        <v>Chipola College</v>
      </c>
      <c r="B116" s="878">
        <v>135</v>
      </c>
      <c r="C116" s="97"/>
      <c r="D116" s="754">
        <f t="shared" si="8"/>
        <v>135</v>
      </c>
      <c r="E116" s="878">
        <v>638.90622039785285</v>
      </c>
      <c r="F116" s="881">
        <v>48.483107041364065</v>
      </c>
      <c r="G116" s="754">
        <f t="shared" si="9"/>
        <v>687.38932743921691</v>
      </c>
      <c r="H116" s="885">
        <v>215.91623036649216</v>
      </c>
      <c r="I116" s="886">
        <v>7.5392670157068071</v>
      </c>
      <c r="J116" s="754">
        <f t="shared" si="16"/>
        <v>223.45549738219896</v>
      </c>
      <c r="K116" s="891">
        <v>12.934782608695652</v>
      </c>
      <c r="L116" s="892">
        <v>4.0652173913043486</v>
      </c>
      <c r="M116" s="758">
        <f t="shared" si="10"/>
        <v>17</v>
      </c>
      <c r="N116" s="891">
        <v>0</v>
      </c>
      <c r="O116" s="892">
        <v>0</v>
      </c>
      <c r="P116" s="758">
        <f t="shared" si="11"/>
        <v>0</v>
      </c>
      <c r="Q116" s="891">
        <v>140.99581589958157</v>
      </c>
      <c r="R116" s="896">
        <v>0.72803347280334729</v>
      </c>
      <c r="S116" s="754">
        <f t="shared" si="12"/>
        <v>141.72384937238493</v>
      </c>
      <c r="T116" s="85">
        <f t="shared" si="13"/>
        <v>1204.5686741938007</v>
      </c>
      <c r="V116" s="763">
        <f t="shared" si="17"/>
        <v>0</v>
      </c>
      <c r="W116" s="900">
        <v>0</v>
      </c>
      <c r="X116" s="901">
        <v>0</v>
      </c>
      <c r="Y116" s="130"/>
      <c r="Z116" s="767">
        <f t="shared" si="18"/>
        <v>0</v>
      </c>
      <c r="AA116" s="903">
        <v>0</v>
      </c>
      <c r="AB116" s="769">
        <f t="shared" si="14"/>
        <v>0</v>
      </c>
      <c r="AD116" s="733" t="str">
        <f t="shared" si="19"/>
        <v>Chipola College</v>
      </c>
      <c r="AE116" s="906">
        <v>0</v>
      </c>
      <c r="AF116" s="906">
        <v>0</v>
      </c>
      <c r="AG116" s="772">
        <f t="shared" si="15"/>
        <v>0</v>
      </c>
      <c r="AI116" s="63" t="s">
        <v>222</v>
      </c>
      <c r="AJ116" s="63"/>
      <c r="AK116" s="63"/>
      <c r="AL116" s="63"/>
      <c r="AM116" s="63"/>
      <c r="AN116" s="63"/>
      <c r="AO116" s="69">
        <f>SUM(AO113:AO115)</f>
        <v>38666.800000000003</v>
      </c>
      <c r="AP116" s="37"/>
      <c r="AR116" s="773"/>
      <c r="AS116" s="773"/>
      <c r="AT116" s="773"/>
      <c r="AU116" s="773"/>
      <c r="AV116" s="773"/>
      <c r="AW116" s="773"/>
      <c r="AX116" s="773"/>
    </row>
    <row r="117" spans="1:54" ht="25.15" customHeight="1">
      <c r="A117" s="733" t="str">
        <f t="shared" si="7"/>
        <v>Daytona State College</v>
      </c>
      <c r="B117" s="878">
        <v>998</v>
      </c>
      <c r="C117" s="97"/>
      <c r="D117" s="754">
        <f t="shared" si="8"/>
        <v>998</v>
      </c>
      <c r="E117" s="878">
        <v>4849.779077813424</v>
      </c>
      <c r="F117" s="881">
        <v>326.46640875636911</v>
      </c>
      <c r="G117" s="754">
        <f t="shared" si="9"/>
        <v>5176.2454865697928</v>
      </c>
      <c r="H117" s="885">
        <v>2011.0259268233583</v>
      </c>
      <c r="I117" s="886">
        <v>132.4659559001696</v>
      </c>
      <c r="J117" s="754">
        <f t="shared" si="16"/>
        <v>2143.4918827235279</v>
      </c>
      <c r="K117" s="891">
        <v>115.23989569752281</v>
      </c>
      <c r="L117" s="892">
        <v>10.760104302477183</v>
      </c>
      <c r="M117" s="758">
        <f t="shared" si="10"/>
        <v>126</v>
      </c>
      <c r="N117" s="891">
        <v>2</v>
      </c>
      <c r="O117" s="892">
        <v>0</v>
      </c>
      <c r="P117" s="758">
        <f t="shared" si="11"/>
        <v>2</v>
      </c>
      <c r="Q117" s="891">
        <v>618.29837667001868</v>
      </c>
      <c r="R117" s="896">
        <v>52.868266053727908</v>
      </c>
      <c r="S117" s="754">
        <f t="shared" si="12"/>
        <v>671.16664272374658</v>
      </c>
      <c r="T117" s="85">
        <f t="shared" si="13"/>
        <v>9116.9040120170685</v>
      </c>
      <c r="V117" s="763">
        <f t="shared" si="17"/>
        <v>3</v>
      </c>
      <c r="W117" s="900">
        <v>3</v>
      </c>
      <c r="X117" s="901">
        <v>6</v>
      </c>
      <c r="Y117" s="130"/>
      <c r="Z117" s="767">
        <f t="shared" si="18"/>
        <v>58.632528448515245</v>
      </c>
      <c r="AA117" s="903">
        <v>662.36747155148475</v>
      </c>
      <c r="AB117" s="769">
        <f t="shared" si="14"/>
        <v>721</v>
      </c>
      <c r="AD117" s="733" t="str">
        <f t="shared" si="19"/>
        <v>Daytona State College</v>
      </c>
      <c r="AE117" s="906">
        <v>610</v>
      </c>
      <c r="AF117" s="906">
        <v>111</v>
      </c>
      <c r="AG117" s="772">
        <f t="shared" si="15"/>
        <v>721</v>
      </c>
      <c r="AP117" s="37"/>
      <c r="AS117" s="63"/>
      <c r="AT117" s="37"/>
      <c r="AU117" s="37"/>
      <c r="AV117" s="37"/>
      <c r="AW117" s="37"/>
    </row>
    <row r="118" spans="1:54" ht="25.15" customHeight="1">
      <c r="A118" s="733" t="str">
        <f t="shared" si="7"/>
        <v>Florida SouthWestern State College</v>
      </c>
      <c r="B118" s="878">
        <v>591</v>
      </c>
      <c r="C118" s="97"/>
      <c r="D118" s="754">
        <f t="shared" si="8"/>
        <v>591</v>
      </c>
      <c r="E118" s="878">
        <v>7596.8864440201578</v>
      </c>
      <c r="F118" s="881">
        <v>258.89527058749883</v>
      </c>
      <c r="G118" s="754">
        <f t="shared" si="9"/>
        <v>7855.7817146076568</v>
      </c>
      <c r="H118" s="885">
        <v>687.87328657953469</v>
      </c>
      <c r="I118" s="886">
        <v>10.532674529805547</v>
      </c>
      <c r="J118" s="754">
        <f t="shared" si="16"/>
        <v>698.4059611093403</v>
      </c>
      <c r="K118" s="891">
        <v>249.11656891495602</v>
      </c>
      <c r="L118" s="892">
        <v>20.883431085043988</v>
      </c>
      <c r="M118" s="758">
        <f t="shared" si="10"/>
        <v>270</v>
      </c>
      <c r="N118" s="891">
        <v>0</v>
      </c>
      <c r="O118" s="892">
        <v>0</v>
      </c>
      <c r="P118" s="758">
        <f t="shared" si="11"/>
        <v>0</v>
      </c>
      <c r="Q118" s="891">
        <v>27</v>
      </c>
      <c r="R118" s="896">
        <v>1</v>
      </c>
      <c r="S118" s="754">
        <f t="shared" si="12"/>
        <v>28</v>
      </c>
      <c r="T118" s="85">
        <f t="shared" si="13"/>
        <v>9443.1876757169957</v>
      </c>
      <c r="V118" s="763">
        <f t="shared" si="17"/>
        <v>0</v>
      </c>
      <c r="W118" s="900">
        <v>0</v>
      </c>
      <c r="X118" s="901">
        <v>0</v>
      </c>
      <c r="Y118" s="130"/>
      <c r="Z118" s="767">
        <f t="shared" si="18"/>
        <v>0</v>
      </c>
      <c r="AA118" s="903">
        <v>0</v>
      </c>
      <c r="AB118" s="769">
        <f t="shared" si="14"/>
        <v>0</v>
      </c>
      <c r="AD118" s="733" t="str">
        <f t="shared" si="19"/>
        <v>Florida SouthWestern State College</v>
      </c>
      <c r="AE118" s="906">
        <v>0</v>
      </c>
      <c r="AF118" s="906">
        <v>0</v>
      </c>
      <c r="AG118" s="772">
        <f t="shared" si="15"/>
        <v>0</v>
      </c>
      <c r="AI118" s="63" t="s">
        <v>748</v>
      </c>
      <c r="AJ118" s="37"/>
      <c r="AK118" s="37"/>
      <c r="AL118" s="37"/>
      <c r="AM118" s="37"/>
      <c r="AN118" s="37"/>
      <c r="AO118" s="908">
        <v>321884</v>
      </c>
      <c r="AR118" s="63"/>
      <c r="AS118" s="63"/>
      <c r="AT118" s="37"/>
      <c r="AU118" s="37"/>
      <c r="AV118" s="37"/>
      <c r="AW118" s="37"/>
    </row>
    <row r="119" spans="1:54" ht="25.15" customHeight="1">
      <c r="A119" s="733" t="str">
        <f t="shared" si="7"/>
        <v>Florida State College at Jacksonville</v>
      </c>
      <c r="B119" s="878">
        <v>1712</v>
      </c>
      <c r="C119" s="97"/>
      <c r="D119" s="754">
        <f t="shared" si="8"/>
        <v>1712</v>
      </c>
      <c r="E119" s="878">
        <v>8557.8680352201245</v>
      </c>
      <c r="F119" s="881">
        <v>324.48871446540875</v>
      </c>
      <c r="G119" s="754">
        <f t="shared" si="9"/>
        <v>8882.3567496855339</v>
      </c>
      <c r="H119" s="885">
        <v>3267.7988165680476</v>
      </c>
      <c r="I119" s="886">
        <v>90.085721366832914</v>
      </c>
      <c r="J119" s="754">
        <f t="shared" si="16"/>
        <v>3357.8845379348804</v>
      </c>
      <c r="K119" s="891">
        <v>631.65028952447801</v>
      </c>
      <c r="L119" s="892">
        <v>43.349710475522024</v>
      </c>
      <c r="M119" s="758">
        <f t="shared" si="10"/>
        <v>675</v>
      </c>
      <c r="N119" s="891">
        <v>2</v>
      </c>
      <c r="O119" s="892">
        <v>0</v>
      </c>
      <c r="P119" s="758">
        <f t="shared" si="11"/>
        <v>2</v>
      </c>
      <c r="Q119" s="891">
        <v>844.1177413812851</v>
      </c>
      <c r="R119" s="896">
        <v>32.023135952353684</v>
      </c>
      <c r="S119" s="754">
        <f t="shared" si="12"/>
        <v>876.14087733363874</v>
      </c>
      <c r="T119" s="85">
        <f t="shared" si="13"/>
        <v>15505.382164954053</v>
      </c>
      <c r="V119" s="763">
        <f t="shared" si="17"/>
        <v>0</v>
      </c>
      <c r="W119" s="900">
        <v>0</v>
      </c>
      <c r="X119" s="901">
        <v>0</v>
      </c>
      <c r="Y119" s="130"/>
      <c r="Z119" s="767">
        <f t="shared" si="18"/>
        <v>162.08348030570255</v>
      </c>
      <c r="AA119" s="903">
        <v>319.91651969429745</v>
      </c>
      <c r="AB119" s="769">
        <f t="shared" si="14"/>
        <v>482</v>
      </c>
      <c r="AD119" s="733" t="str">
        <f t="shared" si="19"/>
        <v>Florida State College at Jacksonville</v>
      </c>
      <c r="AE119" s="906">
        <v>441</v>
      </c>
      <c r="AF119" s="906">
        <v>41</v>
      </c>
      <c r="AG119" s="772">
        <f t="shared" si="15"/>
        <v>482</v>
      </c>
      <c r="AM119" s="37"/>
      <c r="AN119" s="37"/>
      <c r="AO119" s="68">
        <f>AO116</f>
        <v>38666.800000000003</v>
      </c>
      <c r="AP119" s="37"/>
      <c r="AQ119" s="63"/>
      <c r="AR119" s="63"/>
      <c r="AS119" s="63"/>
      <c r="AT119" s="37"/>
      <c r="AU119" s="37"/>
      <c r="AV119" s="37"/>
      <c r="AW119" s="37"/>
    </row>
    <row r="120" spans="1:54" ht="25.15" customHeight="1">
      <c r="A120" s="733" t="str">
        <f t="shared" si="7"/>
        <v>Florida Keys Community College</v>
      </c>
      <c r="B120" s="878">
        <v>13</v>
      </c>
      <c r="C120" s="97"/>
      <c r="D120" s="754">
        <f t="shared" si="8"/>
        <v>13</v>
      </c>
      <c r="E120" s="878">
        <v>325.11223263638544</v>
      </c>
      <c r="F120" s="881">
        <v>33.369863013698627</v>
      </c>
      <c r="G120" s="754">
        <f t="shared" si="9"/>
        <v>358.48209565008409</v>
      </c>
      <c r="H120" s="885">
        <v>183.1171875</v>
      </c>
      <c r="I120" s="886">
        <v>22.546874999999996</v>
      </c>
      <c r="J120" s="754">
        <f t="shared" si="16"/>
        <v>205.6640625</v>
      </c>
      <c r="K120" s="891">
        <v>14.097297297297297</v>
      </c>
      <c r="L120" s="892">
        <v>1.9027027027027028</v>
      </c>
      <c r="M120" s="758">
        <f t="shared" si="10"/>
        <v>16</v>
      </c>
      <c r="N120" s="891">
        <v>0</v>
      </c>
      <c r="O120" s="892">
        <v>0</v>
      </c>
      <c r="P120" s="758">
        <f t="shared" si="11"/>
        <v>0</v>
      </c>
      <c r="Q120" s="891">
        <v>62</v>
      </c>
      <c r="R120" s="896">
        <v>0</v>
      </c>
      <c r="S120" s="754">
        <f t="shared" si="12"/>
        <v>62</v>
      </c>
      <c r="T120" s="85">
        <f t="shared" si="13"/>
        <v>655.14615815008415</v>
      </c>
      <c r="V120" s="763">
        <f t="shared" si="17"/>
        <v>0</v>
      </c>
      <c r="W120" s="900">
        <v>0</v>
      </c>
      <c r="X120" s="901">
        <v>0</v>
      </c>
      <c r="Y120" s="130"/>
      <c r="Z120" s="767">
        <f t="shared" si="18"/>
        <v>0</v>
      </c>
      <c r="AA120" s="903">
        <v>0</v>
      </c>
      <c r="AB120" s="769">
        <f t="shared" si="14"/>
        <v>0</v>
      </c>
      <c r="AD120" s="733" t="str">
        <f t="shared" si="19"/>
        <v>Florida Keys Community College</v>
      </c>
      <c r="AE120" s="906">
        <v>0</v>
      </c>
      <c r="AF120" s="906">
        <v>0</v>
      </c>
      <c r="AG120" s="772">
        <f t="shared" si="15"/>
        <v>0</v>
      </c>
      <c r="AI120" s="1349" t="s">
        <v>749</v>
      </c>
      <c r="AJ120" s="1349"/>
      <c r="AK120" s="1349"/>
      <c r="AL120" s="1349"/>
      <c r="AM120" s="1349"/>
      <c r="AN120" s="1349"/>
      <c r="AO120" s="741">
        <f>AO118-AO119</f>
        <v>283217.2</v>
      </c>
      <c r="AP120" s="37"/>
      <c r="AQ120" s="37"/>
      <c r="AR120" s="37"/>
      <c r="AS120" s="37"/>
      <c r="AT120" s="37"/>
      <c r="AU120" s="37"/>
    </row>
    <row r="121" spans="1:54" ht="25.15" customHeight="1">
      <c r="A121" s="733" t="str">
        <f t="shared" si="7"/>
        <v>Gulf Coast State College</v>
      </c>
      <c r="B121" s="878">
        <v>134</v>
      </c>
      <c r="C121" s="97"/>
      <c r="D121" s="754">
        <f t="shared" si="8"/>
        <v>134</v>
      </c>
      <c r="E121" s="878">
        <v>1928.8712924336942</v>
      </c>
      <c r="F121" s="881">
        <v>83.46297217650887</v>
      </c>
      <c r="G121" s="754">
        <f t="shared" si="9"/>
        <v>2012.334264610203</v>
      </c>
      <c r="H121" s="885">
        <v>578.08515007898893</v>
      </c>
      <c r="I121" s="886">
        <v>17.084834123222748</v>
      </c>
      <c r="J121" s="754">
        <f t="shared" si="16"/>
        <v>595.16998420221171</v>
      </c>
      <c r="K121" s="891">
        <v>49.052795031055901</v>
      </c>
      <c r="L121" s="892">
        <v>4.9472049689440993</v>
      </c>
      <c r="M121" s="758">
        <f t="shared" si="10"/>
        <v>54</v>
      </c>
      <c r="N121" s="891">
        <v>8.3883495145631066</v>
      </c>
      <c r="O121" s="892">
        <v>0.61165048543689315</v>
      </c>
      <c r="P121" s="758">
        <f t="shared" si="11"/>
        <v>9</v>
      </c>
      <c r="Q121" s="891">
        <v>125.59322033898304</v>
      </c>
      <c r="R121" s="896">
        <v>4.406779661016949</v>
      </c>
      <c r="S121" s="754">
        <f t="shared" si="12"/>
        <v>130</v>
      </c>
      <c r="T121" s="85">
        <f t="shared" si="13"/>
        <v>2934.5042488124145</v>
      </c>
      <c r="V121" s="763">
        <f t="shared" si="17"/>
        <v>0</v>
      </c>
      <c r="W121" s="900">
        <v>0</v>
      </c>
      <c r="X121" s="901">
        <v>0</v>
      </c>
      <c r="Y121" s="130"/>
      <c r="Z121" s="767">
        <f t="shared" si="18"/>
        <v>0</v>
      </c>
      <c r="AA121" s="903">
        <v>0</v>
      </c>
      <c r="AB121" s="769">
        <f t="shared" si="14"/>
        <v>0</v>
      </c>
      <c r="AD121" s="733" t="str">
        <f t="shared" si="19"/>
        <v>Gulf Coast State College</v>
      </c>
      <c r="AE121" s="906">
        <v>0</v>
      </c>
      <c r="AF121" s="906">
        <v>0</v>
      </c>
      <c r="AG121" s="772">
        <f t="shared" si="15"/>
        <v>0</v>
      </c>
      <c r="AP121" s="37"/>
      <c r="AQ121" s="37"/>
      <c r="AR121" s="37"/>
      <c r="AS121" s="37"/>
      <c r="AT121" s="37"/>
      <c r="AU121" s="37"/>
    </row>
    <row r="122" spans="1:54" ht="25.15" customHeight="1">
      <c r="A122" s="733" t="str">
        <f t="shared" si="7"/>
        <v>Hillsborough Community College</v>
      </c>
      <c r="B122" s="878">
        <v>0</v>
      </c>
      <c r="C122" s="97"/>
      <c r="D122" s="754">
        <f t="shared" si="8"/>
        <v>0</v>
      </c>
      <c r="E122" s="878">
        <v>11573.417290151425</v>
      </c>
      <c r="F122" s="881">
        <v>447.70642065100753</v>
      </c>
      <c r="G122" s="754">
        <f t="shared" si="9"/>
        <v>12021.123710802432</v>
      </c>
      <c r="H122" s="885">
        <v>3146.896411292792</v>
      </c>
      <c r="I122" s="886">
        <v>97.406607875558805</v>
      </c>
      <c r="J122" s="754">
        <f t="shared" si="16"/>
        <v>3244.3030191683506</v>
      </c>
      <c r="K122" s="891">
        <v>956.76809598741147</v>
      </c>
      <c r="L122" s="892">
        <v>45.231904012588522</v>
      </c>
      <c r="M122" s="758">
        <f t="shared" si="10"/>
        <v>1002</v>
      </c>
      <c r="N122" s="891">
        <v>53.773109243697476</v>
      </c>
      <c r="O122" s="892">
        <v>0.22689075630252101</v>
      </c>
      <c r="P122" s="758">
        <f t="shared" si="11"/>
        <v>54</v>
      </c>
      <c r="Q122" s="891">
        <v>445.7872860635697</v>
      </c>
      <c r="R122" s="896">
        <v>5.2127139364303181</v>
      </c>
      <c r="S122" s="754">
        <f t="shared" si="12"/>
        <v>451</v>
      </c>
      <c r="T122" s="85">
        <f t="shared" si="13"/>
        <v>16772.426729970783</v>
      </c>
      <c r="V122" s="763">
        <f t="shared" si="17"/>
        <v>0</v>
      </c>
      <c r="W122" s="900">
        <v>0</v>
      </c>
      <c r="X122" s="901">
        <v>0</v>
      </c>
      <c r="Y122" s="130"/>
      <c r="Z122" s="767">
        <f t="shared" si="18"/>
        <v>21.031446540880502</v>
      </c>
      <c r="AA122" s="903">
        <v>42.968553459119498</v>
      </c>
      <c r="AB122" s="769">
        <f t="shared" si="14"/>
        <v>64</v>
      </c>
      <c r="AD122" s="733" t="str">
        <f t="shared" si="19"/>
        <v>Hillsborough Community College</v>
      </c>
      <c r="AE122" s="906">
        <v>48</v>
      </c>
      <c r="AF122" s="906">
        <v>16</v>
      </c>
      <c r="AG122" s="772">
        <f t="shared" si="15"/>
        <v>64</v>
      </c>
      <c r="AI122" s="1349" t="s">
        <v>750</v>
      </c>
      <c r="AJ122" s="1349"/>
      <c r="AK122" s="1349"/>
      <c r="AL122" s="1349"/>
      <c r="AM122" s="1349"/>
      <c r="AN122" s="1349"/>
      <c r="AO122" s="742">
        <f>AO116+AO120</f>
        <v>321884</v>
      </c>
      <c r="AP122" s="37"/>
      <c r="AQ122" s="37"/>
      <c r="AR122" s="37"/>
      <c r="AS122" s="37"/>
      <c r="AT122" s="37"/>
      <c r="AU122" s="37"/>
    </row>
    <row r="123" spans="1:54" ht="25.15" customHeight="1">
      <c r="A123" s="733" t="str">
        <f t="shared" si="7"/>
        <v>Indian River State College</v>
      </c>
      <c r="B123" s="878">
        <v>1541</v>
      </c>
      <c r="C123" s="97"/>
      <c r="D123" s="754">
        <f t="shared" si="8"/>
        <v>1541</v>
      </c>
      <c r="E123" s="878">
        <v>5025.6967859052656</v>
      </c>
      <c r="F123" s="881">
        <v>103.50405279896428</v>
      </c>
      <c r="G123" s="754">
        <f t="shared" si="9"/>
        <v>5129.2008387042297</v>
      </c>
      <c r="H123" s="885">
        <v>2250.3245558874391</v>
      </c>
      <c r="I123" s="886">
        <v>28.483886181418011</v>
      </c>
      <c r="J123" s="754">
        <f t="shared" si="16"/>
        <v>2278.8084420688569</v>
      </c>
      <c r="K123" s="891">
        <v>100.6332827516439</v>
      </c>
      <c r="L123" s="892">
        <v>3.3667172483560952</v>
      </c>
      <c r="M123" s="758">
        <f t="shared" si="10"/>
        <v>104</v>
      </c>
      <c r="N123" s="891">
        <v>0</v>
      </c>
      <c r="O123" s="892">
        <v>0</v>
      </c>
      <c r="P123" s="758">
        <f t="shared" si="11"/>
        <v>0</v>
      </c>
      <c r="Q123" s="891">
        <v>607.7579795475674</v>
      </c>
      <c r="R123" s="896">
        <v>6.0985435388906106</v>
      </c>
      <c r="S123" s="754">
        <f t="shared" si="12"/>
        <v>613.85652308645797</v>
      </c>
      <c r="T123" s="85">
        <f t="shared" si="13"/>
        <v>9666.8658038595458</v>
      </c>
      <c r="V123" s="763">
        <f t="shared" si="17"/>
        <v>0</v>
      </c>
      <c r="W123" s="900">
        <v>0</v>
      </c>
      <c r="X123" s="901">
        <v>0</v>
      </c>
      <c r="Y123" s="130"/>
      <c r="Z123" s="767">
        <f t="shared" si="18"/>
        <v>620.39090546469879</v>
      </c>
      <c r="AA123" s="903">
        <v>159.60909453530115</v>
      </c>
      <c r="AB123" s="769">
        <f t="shared" si="14"/>
        <v>780</v>
      </c>
      <c r="AD123" s="733" t="str">
        <f t="shared" si="19"/>
        <v>Indian River State College</v>
      </c>
      <c r="AE123" s="906">
        <v>723</v>
      </c>
      <c r="AF123" s="906">
        <v>57</v>
      </c>
      <c r="AG123" s="772">
        <f t="shared" si="15"/>
        <v>780</v>
      </c>
      <c r="AM123" s="37"/>
      <c r="AN123" s="37"/>
      <c r="AO123" s="37"/>
      <c r="AP123" s="37"/>
      <c r="AQ123" s="37"/>
      <c r="AR123" s="37"/>
      <c r="AS123" s="37"/>
      <c r="AT123" s="37"/>
      <c r="AU123" s="37"/>
    </row>
    <row r="124" spans="1:54" ht="25.15" customHeight="1">
      <c r="A124" s="733" t="str">
        <f t="shared" si="7"/>
        <v>Florida Gateway College</v>
      </c>
      <c r="B124" s="878">
        <v>85</v>
      </c>
      <c r="C124" s="97"/>
      <c r="D124" s="754">
        <f t="shared" si="8"/>
        <v>85</v>
      </c>
      <c r="E124" s="878">
        <v>971.84935171846064</v>
      </c>
      <c r="F124" s="881">
        <v>9.6192632228853672</v>
      </c>
      <c r="G124" s="754">
        <f t="shared" si="9"/>
        <v>981.468614941346</v>
      </c>
      <c r="H124" s="885">
        <v>480.25568181818187</v>
      </c>
      <c r="I124" s="886">
        <v>6.8837412587412592</v>
      </c>
      <c r="J124" s="754">
        <f t="shared" si="16"/>
        <v>487.13942307692315</v>
      </c>
      <c r="K124" s="891">
        <v>60.488255033557046</v>
      </c>
      <c r="L124" s="892">
        <v>0.51174496644295298</v>
      </c>
      <c r="M124" s="758">
        <f t="shared" si="10"/>
        <v>61</v>
      </c>
      <c r="N124" s="891">
        <v>12.783333333333333</v>
      </c>
      <c r="O124" s="892">
        <v>0.21666666666666667</v>
      </c>
      <c r="P124" s="758">
        <f t="shared" si="11"/>
        <v>13</v>
      </c>
      <c r="Q124" s="891">
        <v>280.07059654076954</v>
      </c>
      <c r="R124" s="896">
        <v>1.30780091775503</v>
      </c>
      <c r="S124" s="754">
        <f t="shared" si="12"/>
        <v>281.37839745852455</v>
      </c>
      <c r="T124" s="85">
        <f t="shared" si="13"/>
        <v>1908.9864354767938</v>
      </c>
      <c r="V124" s="763">
        <f t="shared" si="17"/>
        <v>0</v>
      </c>
      <c r="W124" s="900">
        <v>0</v>
      </c>
      <c r="X124" s="901">
        <v>0</v>
      </c>
      <c r="Y124" s="130"/>
      <c r="Z124" s="767">
        <f t="shared" si="18"/>
        <v>0</v>
      </c>
      <c r="AA124" s="903">
        <v>0</v>
      </c>
      <c r="AB124" s="769">
        <f t="shared" si="14"/>
        <v>0</v>
      </c>
      <c r="AD124" s="733" t="str">
        <f t="shared" si="19"/>
        <v>Florida Gateway College</v>
      </c>
      <c r="AE124" s="906">
        <v>0</v>
      </c>
      <c r="AF124" s="906">
        <v>0</v>
      </c>
      <c r="AG124" s="772">
        <f t="shared" si="15"/>
        <v>0</v>
      </c>
    </row>
    <row r="125" spans="1:54" ht="25.15" customHeight="1">
      <c r="A125" s="733" t="str">
        <f t="shared" si="7"/>
        <v>Lake-Sumter State College</v>
      </c>
      <c r="B125" s="878">
        <v>55</v>
      </c>
      <c r="C125" s="97"/>
      <c r="D125" s="754">
        <f t="shared" si="8"/>
        <v>55</v>
      </c>
      <c r="E125" s="878">
        <v>1998.7945075757575</v>
      </c>
      <c r="F125" s="881">
        <v>21.1875</v>
      </c>
      <c r="G125" s="754">
        <f t="shared" si="9"/>
        <v>2019.9820075757575</v>
      </c>
      <c r="H125" s="885">
        <v>471.07520993063162</v>
      </c>
      <c r="I125" s="886">
        <v>4.4775465498357061</v>
      </c>
      <c r="J125" s="754">
        <f t="shared" si="16"/>
        <v>475.55275648046734</v>
      </c>
      <c r="K125" s="891">
        <v>85.125850340136054</v>
      </c>
      <c r="L125" s="892">
        <v>1.8741496598639453</v>
      </c>
      <c r="M125" s="758">
        <f t="shared" si="10"/>
        <v>87</v>
      </c>
      <c r="N125" s="891">
        <v>0</v>
      </c>
      <c r="O125" s="892">
        <v>0</v>
      </c>
      <c r="P125" s="758">
        <f t="shared" si="11"/>
        <v>0</v>
      </c>
      <c r="Q125" s="891">
        <v>0</v>
      </c>
      <c r="R125" s="896">
        <v>0</v>
      </c>
      <c r="S125" s="754">
        <f t="shared" si="12"/>
        <v>0</v>
      </c>
      <c r="T125" s="85">
        <f t="shared" si="13"/>
        <v>2637.534764056225</v>
      </c>
      <c r="V125" s="763">
        <f t="shared" si="17"/>
        <v>0</v>
      </c>
      <c r="W125" s="900">
        <v>0</v>
      </c>
      <c r="X125" s="901">
        <v>0</v>
      </c>
      <c r="Y125" s="130"/>
      <c r="Z125" s="767">
        <f t="shared" si="18"/>
        <v>0</v>
      </c>
      <c r="AA125" s="903">
        <v>0</v>
      </c>
      <c r="AB125" s="769">
        <f t="shared" si="14"/>
        <v>0</v>
      </c>
      <c r="AD125" s="733" t="str">
        <f t="shared" si="19"/>
        <v>Lake-Sumter State College</v>
      </c>
      <c r="AE125" s="906">
        <v>0</v>
      </c>
      <c r="AF125" s="906">
        <v>0</v>
      </c>
      <c r="AG125" s="772">
        <f t="shared" si="15"/>
        <v>0</v>
      </c>
    </row>
    <row r="126" spans="1:54" ht="25.15" customHeight="1">
      <c r="A126" s="733" t="str">
        <f t="shared" si="7"/>
        <v>State College of Florida, Manatee-Sarasota</v>
      </c>
      <c r="B126" s="878">
        <v>440</v>
      </c>
      <c r="C126" s="97"/>
      <c r="D126" s="754">
        <f t="shared" si="8"/>
        <v>440</v>
      </c>
      <c r="E126" s="878">
        <v>4520.2806235687858</v>
      </c>
      <c r="F126" s="881">
        <v>196.11396864541132</v>
      </c>
      <c r="G126" s="754">
        <f t="shared" si="9"/>
        <v>4716.3945922141975</v>
      </c>
      <c r="H126" s="885">
        <v>540.25936073059358</v>
      </c>
      <c r="I126" s="886">
        <v>15.137899543378996</v>
      </c>
      <c r="J126" s="754">
        <f t="shared" si="16"/>
        <v>555.39726027397262</v>
      </c>
      <c r="K126" s="891">
        <v>175.0561797752809</v>
      </c>
      <c r="L126" s="892">
        <v>14.943820224719103</v>
      </c>
      <c r="M126" s="758">
        <f t="shared" si="10"/>
        <v>190</v>
      </c>
      <c r="N126" s="891">
        <v>23</v>
      </c>
      <c r="O126" s="892">
        <v>0</v>
      </c>
      <c r="P126" s="758">
        <f t="shared" si="11"/>
        <v>23</v>
      </c>
      <c r="Q126" s="891">
        <v>0</v>
      </c>
      <c r="R126" s="896">
        <v>0</v>
      </c>
      <c r="S126" s="754">
        <f t="shared" si="12"/>
        <v>0</v>
      </c>
      <c r="T126" s="85">
        <f t="shared" si="13"/>
        <v>5924.7918524881698</v>
      </c>
      <c r="V126" s="763">
        <f t="shared" si="17"/>
        <v>0</v>
      </c>
      <c r="W126" s="900">
        <v>0</v>
      </c>
      <c r="X126" s="901">
        <v>0</v>
      </c>
      <c r="Y126" s="130"/>
      <c r="Z126" s="767">
        <f t="shared" si="18"/>
        <v>0</v>
      </c>
      <c r="AA126" s="903">
        <v>0</v>
      </c>
      <c r="AB126" s="769">
        <f t="shared" si="14"/>
        <v>0</v>
      </c>
      <c r="AD126" s="733" t="str">
        <f t="shared" si="19"/>
        <v>State College of Florida, Manatee-Sarasota</v>
      </c>
      <c r="AE126" s="906">
        <v>0</v>
      </c>
      <c r="AF126" s="906">
        <v>0</v>
      </c>
      <c r="AG126" s="772">
        <f t="shared" si="15"/>
        <v>0</v>
      </c>
    </row>
    <row r="127" spans="1:54" ht="25.15" customHeight="1">
      <c r="A127" s="733" t="str">
        <f t="shared" si="7"/>
        <v>Miami Dade College</v>
      </c>
      <c r="B127" s="878">
        <v>1919</v>
      </c>
      <c r="C127" s="97"/>
      <c r="D127" s="754">
        <f t="shared" si="8"/>
        <v>1919</v>
      </c>
      <c r="E127" s="878">
        <v>31812.35421458905</v>
      </c>
      <c r="F127" s="881">
        <v>1419.3308966646023</v>
      </c>
      <c r="G127" s="754">
        <f t="shared" si="9"/>
        <v>33231.685111253653</v>
      </c>
      <c r="H127" s="885">
        <v>3681.1779310344828</v>
      </c>
      <c r="I127" s="886">
        <v>170.54971786833855</v>
      </c>
      <c r="J127" s="754">
        <f t="shared" si="16"/>
        <v>3851.7276489028213</v>
      </c>
      <c r="K127" s="891">
        <v>2497.0796373136623</v>
      </c>
      <c r="L127" s="892">
        <v>140.9203626863378</v>
      </c>
      <c r="M127" s="758">
        <f t="shared" si="10"/>
        <v>2638</v>
      </c>
      <c r="N127" s="891">
        <v>12.771929824561404</v>
      </c>
      <c r="O127" s="892">
        <v>0.22807017543859648</v>
      </c>
      <c r="P127" s="758">
        <f t="shared" si="11"/>
        <v>13</v>
      </c>
      <c r="Q127" s="891">
        <v>1137.8298443370907</v>
      </c>
      <c r="R127" s="896">
        <v>20.216854535695116</v>
      </c>
      <c r="S127" s="754">
        <f t="shared" si="12"/>
        <v>1158.0466988727858</v>
      </c>
      <c r="T127" s="85">
        <f t="shared" si="13"/>
        <v>42811.459459029262</v>
      </c>
      <c r="V127" s="763">
        <f t="shared" si="17"/>
        <v>0</v>
      </c>
      <c r="W127" s="900">
        <v>1</v>
      </c>
      <c r="X127" s="901">
        <v>1</v>
      </c>
      <c r="Y127" s="130"/>
      <c r="Z127" s="767">
        <f t="shared" si="18"/>
        <v>4.8239307268436278</v>
      </c>
      <c r="AA127" s="903">
        <v>1527.1760692731564</v>
      </c>
      <c r="AB127" s="769">
        <f t="shared" si="14"/>
        <v>1532</v>
      </c>
      <c r="AD127" s="733" t="str">
        <f t="shared" si="19"/>
        <v>Miami Dade College</v>
      </c>
      <c r="AE127" s="906">
        <v>1485</v>
      </c>
      <c r="AF127" s="906">
        <v>47</v>
      </c>
      <c r="AG127" s="772">
        <f t="shared" si="15"/>
        <v>1532</v>
      </c>
    </row>
    <row r="128" spans="1:54" ht="25.15" customHeight="1">
      <c r="A128" s="733" t="str">
        <f t="shared" si="7"/>
        <v>North Florida Community College</v>
      </c>
      <c r="B128" s="878">
        <v>18</v>
      </c>
      <c r="C128" s="97"/>
      <c r="D128" s="754">
        <f t="shared" si="8"/>
        <v>18</v>
      </c>
      <c r="E128" s="878">
        <v>371.85145937906674</v>
      </c>
      <c r="F128" s="881">
        <v>6.8350994608663322</v>
      </c>
      <c r="G128" s="754">
        <f t="shared" si="9"/>
        <v>378.68655883993307</v>
      </c>
      <c r="H128" s="885">
        <v>114.57345225603358</v>
      </c>
      <c r="I128" s="886">
        <v>1.3746065057712489</v>
      </c>
      <c r="J128" s="754">
        <f t="shared" si="16"/>
        <v>115.94805876180483</v>
      </c>
      <c r="K128" s="891">
        <v>10.698630136986301</v>
      </c>
      <c r="L128" s="892">
        <v>0.30136986301369867</v>
      </c>
      <c r="M128" s="758">
        <f t="shared" si="10"/>
        <v>11</v>
      </c>
      <c r="N128" s="891">
        <v>0</v>
      </c>
      <c r="O128" s="892">
        <v>0</v>
      </c>
      <c r="P128" s="758">
        <f t="shared" si="11"/>
        <v>0</v>
      </c>
      <c r="Q128" s="891">
        <v>104.45421577515866</v>
      </c>
      <c r="R128" s="896">
        <v>3.162284678150499</v>
      </c>
      <c r="S128" s="754">
        <f t="shared" si="12"/>
        <v>107.61650045330916</v>
      </c>
      <c r="T128" s="85">
        <f t="shared" si="13"/>
        <v>631.25111805504707</v>
      </c>
      <c r="V128" s="763">
        <f t="shared" si="17"/>
        <v>0</v>
      </c>
      <c r="W128" s="900">
        <v>0</v>
      </c>
      <c r="X128" s="901">
        <v>0</v>
      </c>
      <c r="Y128" s="130"/>
      <c r="Z128" s="767">
        <f t="shared" si="18"/>
        <v>0</v>
      </c>
      <c r="AA128" s="903">
        <v>0</v>
      </c>
      <c r="AB128" s="769">
        <f t="shared" si="14"/>
        <v>0</v>
      </c>
      <c r="AD128" s="733" t="str">
        <f t="shared" si="19"/>
        <v>North Florida Community College</v>
      </c>
      <c r="AE128" s="906">
        <v>0</v>
      </c>
      <c r="AF128" s="906">
        <v>0</v>
      </c>
      <c r="AG128" s="772">
        <f t="shared" si="15"/>
        <v>0</v>
      </c>
    </row>
    <row r="129" spans="1:48" ht="25.15" customHeight="1">
      <c r="A129" s="733" t="str">
        <f t="shared" si="7"/>
        <v>Northwest Florida State College</v>
      </c>
      <c r="B129" s="878">
        <v>330</v>
      </c>
      <c r="C129" s="97"/>
      <c r="D129" s="754">
        <f t="shared" si="8"/>
        <v>330</v>
      </c>
      <c r="E129" s="878">
        <v>2040.6294067067929</v>
      </c>
      <c r="F129" s="881">
        <v>59.989681857265694</v>
      </c>
      <c r="G129" s="754">
        <f t="shared" si="9"/>
        <v>2100.6190885640585</v>
      </c>
      <c r="H129" s="885">
        <v>530.5229482691559</v>
      </c>
      <c r="I129" s="886">
        <v>9.4640217814080128</v>
      </c>
      <c r="J129" s="754">
        <f t="shared" si="16"/>
        <v>539.98697005056397</v>
      </c>
      <c r="K129" s="891">
        <v>87.660751565761998</v>
      </c>
      <c r="L129" s="892">
        <v>5.3392484342379953</v>
      </c>
      <c r="M129" s="758">
        <f t="shared" si="10"/>
        <v>93</v>
      </c>
      <c r="N129" s="891">
        <v>0</v>
      </c>
      <c r="O129" s="892">
        <v>0</v>
      </c>
      <c r="P129" s="758">
        <f t="shared" si="11"/>
        <v>0</v>
      </c>
      <c r="Q129" s="891">
        <v>170.3</v>
      </c>
      <c r="R129" s="896">
        <v>3.6999999999999997</v>
      </c>
      <c r="S129" s="754">
        <f t="shared" si="12"/>
        <v>174</v>
      </c>
      <c r="T129" s="85">
        <f t="shared" si="13"/>
        <v>3237.6060586146223</v>
      </c>
      <c r="V129" s="763">
        <f t="shared" si="17"/>
        <v>0</v>
      </c>
      <c r="W129" s="900">
        <v>0</v>
      </c>
      <c r="X129" s="901">
        <v>0</v>
      </c>
      <c r="Y129" s="130"/>
      <c r="Z129" s="767">
        <f t="shared" si="18"/>
        <v>126.29612034837687</v>
      </c>
      <c r="AA129" s="903">
        <v>0.70387965162311961</v>
      </c>
      <c r="AB129" s="769">
        <f t="shared" si="14"/>
        <v>127</v>
      </c>
      <c r="AD129" s="733" t="str">
        <f t="shared" si="19"/>
        <v>Northwest Florida State College</v>
      </c>
      <c r="AE129" s="906">
        <v>94</v>
      </c>
      <c r="AF129" s="906">
        <v>33</v>
      </c>
      <c r="AG129" s="772">
        <f t="shared" si="15"/>
        <v>127</v>
      </c>
    </row>
    <row r="130" spans="1:48" ht="25.15" customHeight="1">
      <c r="A130" s="733" t="str">
        <f t="shared" si="7"/>
        <v>Palm Beach State College</v>
      </c>
      <c r="B130" s="878">
        <v>834</v>
      </c>
      <c r="C130" s="97"/>
      <c r="D130" s="754">
        <f t="shared" si="8"/>
        <v>834</v>
      </c>
      <c r="E130" s="878">
        <v>15189.839901492627</v>
      </c>
      <c r="F130" s="881">
        <v>503.20842117908518</v>
      </c>
      <c r="G130" s="754">
        <f t="shared" si="9"/>
        <v>15693.048322671712</v>
      </c>
      <c r="H130" s="885">
        <v>1522.3594401041667</v>
      </c>
      <c r="I130" s="886">
        <v>33.494140625</v>
      </c>
      <c r="J130" s="754">
        <f t="shared" si="16"/>
        <v>1555.8535807291667</v>
      </c>
      <c r="K130" s="891">
        <v>700.31644159821803</v>
      </c>
      <c r="L130" s="892">
        <v>38.683558401781994</v>
      </c>
      <c r="M130" s="758">
        <f t="shared" si="10"/>
        <v>739</v>
      </c>
      <c r="N130" s="891">
        <v>33</v>
      </c>
      <c r="O130" s="892">
        <v>0</v>
      </c>
      <c r="P130" s="758">
        <f t="shared" si="11"/>
        <v>33</v>
      </c>
      <c r="Q130" s="891">
        <v>896.32734113712377</v>
      </c>
      <c r="R130" s="896">
        <v>9.5848662207357851</v>
      </c>
      <c r="S130" s="754">
        <f t="shared" si="12"/>
        <v>905.91220735785953</v>
      </c>
      <c r="T130" s="85">
        <f t="shared" si="13"/>
        <v>19760.814110758736</v>
      </c>
      <c r="V130" s="763">
        <f t="shared" si="17"/>
        <v>0</v>
      </c>
      <c r="W130" s="900">
        <v>0</v>
      </c>
      <c r="X130" s="901">
        <v>0</v>
      </c>
      <c r="Y130" s="130"/>
      <c r="Z130" s="767">
        <f t="shared" si="18"/>
        <v>0</v>
      </c>
      <c r="AA130" s="903">
        <v>0</v>
      </c>
      <c r="AB130" s="769">
        <f t="shared" si="14"/>
        <v>0</v>
      </c>
      <c r="AD130" s="733" t="str">
        <f t="shared" si="19"/>
        <v>Palm Beach State College</v>
      </c>
      <c r="AE130" s="906">
        <v>0</v>
      </c>
      <c r="AF130" s="906">
        <v>0</v>
      </c>
      <c r="AG130" s="772">
        <f t="shared" si="15"/>
        <v>0</v>
      </c>
    </row>
    <row r="131" spans="1:48" ht="25.15" customHeight="1">
      <c r="A131" s="733" t="str">
        <f t="shared" si="7"/>
        <v>Pasco-Hernando State College</v>
      </c>
      <c r="B131" s="878">
        <v>371</v>
      </c>
      <c r="C131" s="97"/>
      <c r="D131" s="754">
        <f t="shared" si="8"/>
        <v>371</v>
      </c>
      <c r="E131" s="878">
        <v>3567.9913647289236</v>
      </c>
      <c r="F131" s="881">
        <v>28.493990919611857</v>
      </c>
      <c r="G131" s="754">
        <f t="shared" si="9"/>
        <v>3596.4853556485355</v>
      </c>
      <c r="H131" s="885">
        <v>1884.3940046928124</v>
      </c>
      <c r="I131" s="886">
        <v>16.393717377771388</v>
      </c>
      <c r="J131" s="754">
        <f t="shared" si="16"/>
        <v>1900.7877220705836</v>
      </c>
      <c r="K131" s="891">
        <v>304.88786127167629</v>
      </c>
      <c r="L131" s="892">
        <v>6.1121387283236999</v>
      </c>
      <c r="M131" s="758">
        <f t="shared" si="10"/>
        <v>311</v>
      </c>
      <c r="N131" s="891">
        <v>10.615</v>
      </c>
      <c r="O131" s="892">
        <v>0.38499999999999995</v>
      </c>
      <c r="P131" s="758">
        <f t="shared" si="11"/>
        <v>11</v>
      </c>
      <c r="Q131" s="891">
        <v>333.69443626729463</v>
      </c>
      <c r="R131" s="896">
        <v>2.6022961436561673</v>
      </c>
      <c r="S131" s="754">
        <f t="shared" si="12"/>
        <v>336.29673241095082</v>
      </c>
      <c r="T131" s="85">
        <f t="shared" si="13"/>
        <v>6526.5698101300695</v>
      </c>
      <c r="V131" s="763">
        <f t="shared" si="17"/>
        <v>0</v>
      </c>
      <c r="W131" s="900">
        <v>0</v>
      </c>
      <c r="X131" s="901">
        <v>0</v>
      </c>
      <c r="Y131" s="130"/>
      <c r="Z131" s="767">
        <f t="shared" si="18"/>
        <v>0</v>
      </c>
      <c r="AA131" s="903">
        <v>0</v>
      </c>
      <c r="AB131" s="769">
        <f t="shared" si="14"/>
        <v>0</v>
      </c>
      <c r="AD131" s="733" t="str">
        <f t="shared" si="19"/>
        <v>Pasco-Hernando State College</v>
      </c>
      <c r="AE131" s="906">
        <v>0</v>
      </c>
      <c r="AF131" s="906">
        <v>0</v>
      </c>
      <c r="AG131" s="772">
        <f t="shared" si="15"/>
        <v>0</v>
      </c>
    </row>
    <row r="132" spans="1:48" ht="25.15" customHeight="1">
      <c r="A132" s="733" t="str">
        <f t="shared" si="7"/>
        <v>Pensacola State College</v>
      </c>
      <c r="B132" s="878">
        <v>408</v>
      </c>
      <c r="C132" s="97"/>
      <c r="D132" s="754">
        <f t="shared" si="8"/>
        <v>408</v>
      </c>
      <c r="E132" s="878">
        <v>3611.7920598103906</v>
      </c>
      <c r="F132" s="881">
        <v>68.766185511293259</v>
      </c>
      <c r="G132" s="754">
        <f t="shared" si="9"/>
        <v>3680.5582453216839</v>
      </c>
      <c r="H132" s="885">
        <v>1535.6474212993971</v>
      </c>
      <c r="I132" s="886">
        <v>22.414333556597455</v>
      </c>
      <c r="J132" s="754">
        <f t="shared" si="16"/>
        <v>1558.0617548559946</v>
      </c>
      <c r="K132" s="891">
        <v>220.52690166975881</v>
      </c>
      <c r="L132" s="892">
        <v>9.4730983302411875</v>
      </c>
      <c r="M132" s="758">
        <f t="shared" si="10"/>
        <v>230</v>
      </c>
      <c r="N132" s="891">
        <v>0</v>
      </c>
      <c r="O132" s="892">
        <v>0</v>
      </c>
      <c r="P132" s="758">
        <f t="shared" si="11"/>
        <v>0</v>
      </c>
      <c r="Q132" s="891">
        <v>388.38718014990951</v>
      </c>
      <c r="R132" s="896">
        <v>1.6128198500904629</v>
      </c>
      <c r="S132" s="754">
        <f t="shared" si="12"/>
        <v>390</v>
      </c>
      <c r="T132" s="85">
        <f t="shared" si="13"/>
        <v>6266.6200001776788</v>
      </c>
      <c r="V132" s="763">
        <f t="shared" si="17"/>
        <v>0</v>
      </c>
      <c r="W132" s="900">
        <v>0</v>
      </c>
      <c r="X132" s="901">
        <v>0</v>
      </c>
      <c r="Y132" s="130"/>
      <c r="Z132" s="767">
        <f t="shared" si="18"/>
        <v>283.74184689323721</v>
      </c>
      <c r="AA132" s="903">
        <v>5.2581531067627871</v>
      </c>
      <c r="AB132" s="769">
        <f t="shared" si="14"/>
        <v>289</v>
      </c>
      <c r="AD132" s="733" t="str">
        <f t="shared" si="19"/>
        <v>Pensacola State College</v>
      </c>
      <c r="AE132" s="906">
        <v>106</v>
      </c>
      <c r="AF132" s="906">
        <v>183</v>
      </c>
      <c r="AG132" s="772">
        <f t="shared" si="15"/>
        <v>289</v>
      </c>
    </row>
    <row r="133" spans="1:48" ht="25.15" customHeight="1">
      <c r="A133" s="733" t="str">
        <f t="shared" si="7"/>
        <v>Polk State College</v>
      </c>
      <c r="B133" s="878">
        <v>767</v>
      </c>
      <c r="C133" s="97"/>
      <c r="D133" s="754">
        <f t="shared" si="8"/>
        <v>767</v>
      </c>
      <c r="E133" s="878">
        <v>3305.2920124876264</v>
      </c>
      <c r="F133" s="881">
        <v>53.740577172009438</v>
      </c>
      <c r="G133" s="754">
        <f t="shared" si="9"/>
        <v>3359.032589659636</v>
      </c>
      <c r="H133" s="885">
        <v>1473.1000454456923</v>
      </c>
      <c r="I133" s="886">
        <v>19.125884567941309</v>
      </c>
      <c r="J133" s="754">
        <f t="shared" si="16"/>
        <v>1492.2259300136336</v>
      </c>
      <c r="K133" s="891">
        <v>154.20423892100192</v>
      </c>
      <c r="L133" s="892">
        <v>9.7957610789980745</v>
      </c>
      <c r="M133" s="758">
        <f t="shared" si="10"/>
        <v>164</v>
      </c>
      <c r="N133" s="891">
        <v>64</v>
      </c>
      <c r="O133" s="892">
        <v>0</v>
      </c>
      <c r="P133" s="758">
        <f t="shared" si="11"/>
        <v>64</v>
      </c>
      <c r="Q133" s="891">
        <v>96</v>
      </c>
      <c r="R133" s="896">
        <v>0</v>
      </c>
      <c r="S133" s="754">
        <f t="shared" si="12"/>
        <v>96</v>
      </c>
      <c r="T133" s="85">
        <f t="shared" si="13"/>
        <v>5942.2585196732698</v>
      </c>
      <c r="V133" s="763">
        <f t="shared" si="17"/>
        <v>0</v>
      </c>
      <c r="W133" s="900">
        <v>0</v>
      </c>
      <c r="X133" s="901">
        <v>0</v>
      </c>
      <c r="Y133" s="130"/>
      <c r="Z133" s="767">
        <f t="shared" si="18"/>
        <v>0</v>
      </c>
      <c r="AA133" s="903">
        <v>0</v>
      </c>
      <c r="AB133" s="769">
        <f t="shared" si="14"/>
        <v>0</v>
      </c>
      <c r="AD133" s="733" t="str">
        <f t="shared" si="19"/>
        <v>Polk State College</v>
      </c>
      <c r="AE133" s="906">
        <v>0</v>
      </c>
      <c r="AF133" s="906">
        <v>0</v>
      </c>
      <c r="AG133" s="772">
        <f t="shared" si="15"/>
        <v>0</v>
      </c>
    </row>
    <row r="134" spans="1:48" ht="25.15" customHeight="1">
      <c r="A134" s="733" t="str">
        <f t="shared" si="7"/>
        <v>St. Johns River State College</v>
      </c>
      <c r="B134" s="878">
        <v>212</v>
      </c>
      <c r="C134" s="97"/>
      <c r="D134" s="754">
        <f t="shared" si="8"/>
        <v>212</v>
      </c>
      <c r="E134" s="878">
        <v>2356.6673941510262</v>
      </c>
      <c r="F134" s="881">
        <v>44.620253164556964</v>
      </c>
      <c r="G134" s="754">
        <f t="shared" si="9"/>
        <v>2401.2876473155829</v>
      </c>
      <c r="H134" s="885">
        <v>781.16913248150638</v>
      </c>
      <c r="I134" s="886">
        <v>9.2609280430396783</v>
      </c>
      <c r="J134" s="754">
        <f t="shared" si="16"/>
        <v>790.43006052454609</v>
      </c>
      <c r="K134" s="891">
        <v>57.741530740276033</v>
      </c>
      <c r="L134" s="892">
        <v>2.2584692597239648</v>
      </c>
      <c r="M134" s="758">
        <f t="shared" si="10"/>
        <v>60</v>
      </c>
      <c r="N134" s="891">
        <v>30.780141843971631</v>
      </c>
      <c r="O134" s="892">
        <v>0.21985815602836881</v>
      </c>
      <c r="P134" s="758">
        <f t="shared" si="11"/>
        <v>31</v>
      </c>
      <c r="Q134" s="891">
        <v>119.82190132370638</v>
      </c>
      <c r="R134" s="896">
        <v>2.0890493381468112</v>
      </c>
      <c r="S134" s="754">
        <f t="shared" si="12"/>
        <v>121.91095066185319</v>
      </c>
      <c r="T134" s="85">
        <f t="shared" si="13"/>
        <v>3616.6286585019825</v>
      </c>
      <c r="V134" s="763">
        <f t="shared" si="17"/>
        <v>0</v>
      </c>
      <c r="W134" s="900">
        <v>0</v>
      </c>
      <c r="X134" s="901">
        <v>0</v>
      </c>
      <c r="Y134" s="130"/>
      <c r="Z134" s="767">
        <f t="shared" si="18"/>
        <v>48</v>
      </c>
      <c r="AA134" s="903">
        <v>0</v>
      </c>
      <c r="AB134" s="769">
        <f t="shared" si="14"/>
        <v>48</v>
      </c>
      <c r="AD134" s="733" t="str">
        <f t="shared" si="19"/>
        <v>St. Johns River State College</v>
      </c>
      <c r="AE134" s="906">
        <v>31</v>
      </c>
      <c r="AF134" s="906">
        <v>17</v>
      </c>
      <c r="AG134" s="772">
        <f t="shared" si="15"/>
        <v>48</v>
      </c>
    </row>
    <row r="135" spans="1:48" ht="25.15" customHeight="1">
      <c r="A135" s="733" t="str">
        <f t="shared" si="7"/>
        <v>St. Petersburg College</v>
      </c>
      <c r="B135" s="878">
        <v>2753</v>
      </c>
      <c r="C135" s="97"/>
      <c r="D135" s="754">
        <f t="shared" si="8"/>
        <v>2753</v>
      </c>
      <c r="E135" s="878">
        <v>8574.4101583243191</v>
      </c>
      <c r="F135" s="881">
        <v>309.56828596715508</v>
      </c>
      <c r="G135" s="754">
        <f t="shared" si="9"/>
        <v>8883.9784442914734</v>
      </c>
      <c r="H135" s="885">
        <v>4608.1676003248722</v>
      </c>
      <c r="I135" s="886">
        <v>137.94052354276434</v>
      </c>
      <c r="J135" s="754">
        <f t="shared" si="16"/>
        <v>4746.1081238676361</v>
      </c>
      <c r="K135" s="891">
        <v>647.20391423226363</v>
      </c>
      <c r="L135" s="892">
        <v>42.796085767736365</v>
      </c>
      <c r="M135" s="758">
        <f t="shared" si="10"/>
        <v>690</v>
      </c>
      <c r="N135" s="891">
        <v>0</v>
      </c>
      <c r="O135" s="892">
        <v>0</v>
      </c>
      <c r="P135" s="758">
        <f t="shared" si="11"/>
        <v>0</v>
      </c>
      <c r="Q135" s="891">
        <v>180.16213389121339</v>
      </c>
      <c r="R135" s="896">
        <v>9.8378661087866117</v>
      </c>
      <c r="S135" s="754">
        <f t="shared" si="12"/>
        <v>190</v>
      </c>
      <c r="T135" s="85">
        <f t="shared" si="13"/>
        <v>17263.086568159109</v>
      </c>
      <c r="V135" s="763">
        <f t="shared" si="17"/>
        <v>0</v>
      </c>
      <c r="W135" s="900">
        <v>0</v>
      </c>
      <c r="X135" s="901">
        <v>0</v>
      </c>
      <c r="Y135" s="130"/>
      <c r="Z135" s="767">
        <f t="shared" si="18"/>
        <v>0</v>
      </c>
      <c r="AA135" s="903">
        <v>0</v>
      </c>
      <c r="AB135" s="769">
        <f t="shared" si="14"/>
        <v>0</v>
      </c>
      <c r="AD135" s="733" t="str">
        <f t="shared" si="19"/>
        <v>St. Petersburg College</v>
      </c>
      <c r="AE135" s="906">
        <v>0</v>
      </c>
      <c r="AF135" s="906">
        <v>0</v>
      </c>
      <c r="AG135" s="772">
        <f t="shared" si="15"/>
        <v>0</v>
      </c>
    </row>
    <row r="136" spans="1:48" ht="25.15" customHeight="1">
      <c r="A136" s="733" t="str">
        <f t="shared" si="7"/>
        <v>Santa Fe College</v>
      </c>
      <c r="B136" s="878">
        <v>475</v>
      </c>
      <c r="C136" s="97"/>
      <c r="D136" s="754">
        <f t="shared" si="8"/>
        <v>475</v>
      </c>
      <c r="E136" s="878">
        <v>6012.4971816515799</v>
      </c>
      <c r="F136" s="881">
        <v>464.50792747264956</v>
      </c>
      <c r="G136" s="754">
        <f t="shared" si="9"/>
        <v>6477.0051091242294</v>
      </c>
      <c r="H136" s="885">
        <v>2200.3531701409911</v>
      </c>
      <c r="I136" s="886">
        <v>106.95454545454545</v>
      </c>
      <c r="J136" s="754">
        <f t="shared" si="16"/>
        <v>2307.3077155955366</v>
      </c>
      <c r="K136" s="891">
        <v>292.49250936329588</v>
      </c>
      <c r="L136" s="892">
        <v>78.507490636704119</v>
      </c>
      <c r="M136" s="758">
        <f t="shared" si="10"/>
        <v>371</v>
      </c>
      <c r="N136" s="891">
        <v>10.24390243902439</v>
      </c>
      <c r="O136" s="892">
        <v>1.75609756097561</v>
      </c>
      <c r="P136" s="758">
        <f t="shared" si="11"/>
        <v>12</v>
      </c>
      <c r="Q136" s="891">
        <v>240.99593165174937</v>
      </c>
      <c r="R136" s="896">
        <v>4.6037428803905609</v>
      </c>
      <c r="S136" s="754">
        <f t="shared" si="12"/>
        <v>245.59967453213994</v>
      </c>
      <c r="T136" s="85">
        <f t="shared" si="13"/>
        <v>9887.9124992519064</v>
      </c>
      <c r="V136" s="763">
        <f t="shared" si="17"/>
        <v>0</v>
      </c>
      <c r="W136" s="900">
        <v>0</v>
      </c>
      <c r="X136" s="901">
        <v>0</v>
      </c>
      <c r="Y136" s="130"/>
      <c r="Z136" s="767">
        <f t="shared" si="18"/>
        <v>27.736961451247168</v>
      </c>
      <c r="AA136" s="903">
        <v>104.26303854875283</v>
      </c>
      <c r="AB136" s="769">
        <f t="shared" si="14"/>
        <v>132</v>
      </c>
      <c r="AD136" s="733" t="str">
        <f t="shared" si="19"/>
        <v>Santa Fe College</v>
      </c>
      <c r="AE136" s="906">
        <v>128</v>
      </c>
      <c r="AF136" s="906">
        <v>4</v>
      </c>
      <c r="AG136" s="772">
        <f t="shared" si="15"/>
        <v>132</v>
      </c>
    </row>
    <row r="137" spans="1:48" ht="25.15" customHeight="1">
      <c r="A137" s="733" t="str">
        <f t="shared" si="7"/>
        <v>Seminole State College of Florida</v>
      </c>
      <c r="B137" s="878">
        <v>972</v>
      </c>
      <c r="C137" s="97"/>
      <c r="D137" s="754">
        <f t="shared" si="8"/>
        <v>972</v>
      </c>
      <c r="E137" s="878">
        <v>6538.8666903712128</v>
      </c>
      <c r="F137" s="881">
        <v>176.23773289716968</v>
      </c>
      <c r="G137" s="754">
        <f t="shared" si="9"/>
        <v>6715.1044232683826</v>
      </c>
      <c r="H137" s="885">
        <v>2573.6376304155615</v>
      </c>
      <c r="I137" s="886">
        <v>118.41828470380194</v>
      </c>
      <c r="J137" s="754">
        <f t="shared" si="16"/>
        <v>2692.0559151193634</v>
      </c>
      <c r="K137" s="891">
        <v>267.76497102382484</v>
      </c>
      <c r="L137" s="892">
        <v>23.235028976175144</v>
      </c>
      <c r="M137" s="758">
        <f t="shared" si="10"/>
        <v>291</v>
      </c>
      <c r="N137" s="891">
        <v>66.861491628614914</v>
      </c>
      <c r="O137" s="892">
        <v>1.1385083713850837</v>
      </c>
      <c r="P137" s="758">
        <f t="shared" si="11"/>
        <v>68</v>
      </c>
      <c r="Q137" s="891">
        <v>202.98562628336757</v>
      </c>
      <c r="R137" s="896">
        <v>27.014373716632445</v>
      </c>
      <c r="S137" s="754">
        <f t="shared" si="12"/>
        <v>230</v>
      </c>
      <c r="T137" s="85">
        <f t="shared" si="13"/>
        <v>10968.160338387746</v>
      </c>
      <c r="V137" s="763">
        <f t="shared" si="17"/>
        <v>0</v>
      </c>
      <c r="W137" s="900">
        <v>0</v>
      </c>
      <c r="X137" s="901">
        <v>0</v>
      </c>
      <c r="Y137" s="130"/>
      <c r="Z137" s="767">
        <f t="shared" si="18"/>
        <v>255.75912690747532</v>
      </c>
      <c r="AA137" s="903">
        <v>259.24087309252468</v>
      </c>
      <c r="AB137" s="769">
        <f t="shared" si="14"/>
        <v>515</v>
      </c>
      <c r="AD137" s="733" t="str">
        <f t="shared" si="19"/>
        <v>Seminole State College of Florida</v>
      </c>
      <c r="AE137" s="906">
        <v>351</v>
      </c>
      <c r="AF137" s="906">
        <v>164</v>
      </c>
      <c r="AG137" s="772">
        <f t="shared" si="15"/>
        <v>515</v>
      </c>
    </row>
    <row r="138" spans="1:48" ht="25.15" customHeight="1">
      <c r="A138" s="733" t="str">
        <f t="shared" si="7"/>
        <v>South Florida State College</v>
      </c>
      <c r="B138" s="878">
        <v>117</v>
      </c>
      <c r="C138" s="97"/>
      <c r="D138" s="754">
        <f t="shared" si="8"/>
        <v>117</v>
      </c>
      <c r="E138" s="878">
        <v>1181.4526715486845</v>
      </c>
      <c r="F138" s="881">
        <v>13.474369406021157</v>
      </c>
      <c r="G138" s="754">
        <f t="shared" si="9"/>
        <v>1194.9270409547057</v>
      </c>
      <c r="H138" s="885">
        <v>3</v>
      </c>
      <c r="I138" s="886">
        <v>0</v>
      </c>
      <c r="J138" s="754">
        <f t="shared" si="16"/>
        <v>3</v>
      </c>
      <c r="K138" s="891">
        <v>30.4</v>
      </c>
      <c r="L138" s="892">
        <v>0.6</v>
      </c>
      <c r="M138" s="758">
        <f t="shared" si="10"/>
        <v>31</v>
      </c>
      <c r="N138" s="891">
        <v>0</v>
      </c>
      <c r="O138" s="892">
        <v>0</v>
      </c>
      <c r="P138" s="758">
        <f t="shared" si="11"/>
        <v>0</v>
      </c>
      <c r="Q138" s="891">
        <v>240.17168863779034</v>
      </c>
      <c r="R138" s="896">
        <v>3.9538606403013179</v>
      </c>
      <c r="S138" s="754">
        <f t="shared" si="12"/>
        <v>244.12554927809165</v>
      </c>
      <c r="T138" s="85">
        <f t="shared" si="13"/>
        <v>1590.0525902327975</v>
      </c>
      <c r="V138" s="763">
        <f t="shared" si="17"/>
        <v>0</v>
      </c>
      <c r="W138" s="900">
        <v>0</v>
      </c>
      <c r="X138" s="901">
        <v>0</v>
      </c>
      <c r="Y138" s="130"/>
      <c r="Z138" s="767">
        <f t="shared" si="18"/>
        <v>165.86307396205663</v>
      </c>
      <c r="AA138" s="903">
        <v>166.13692603794337</v>
      </c>
      <c r="AB138" s="769">
        <f t="shared" si="14"/>
        <v>332</v>
      </c>
      <c r="AD138" s="733" t="str">
        <f t="shared" si="19"/>
        <v>South Florida State College</v>
      </c>
      <c r="AE138" s="906">
        <v>314</v>
      </c>
      <c r="AF138" s="906">
        <v>18</v>
      </c>
      <c r="AG138" s="772">
        <f t="shared" si="15"/>
        <v>332</v>
      </c>
    </row>
    <row r="139" spans="1:48" ht="25.15" customHeight="1">
      <c r="A139" s="733" t="str">
        <f t="shared" si="7"/>
        <v>Tallahassee Community College</v>
      </c>
      <c r="B139" s="878">
        <v>17</v>
      </c>
      <c r="C139" s="97"/>
      <c r="D139" s="754">
        <f t="shared" si="8"/>
        <v>17</v>
      </c>
      <c r="E139" s="878">
        <v>6794.3154886285511</v>
      </c>
      <c r="F139" s="881">
        <v>345.56985318899393</v>
      </c>
      <c r="G139" s="754">
        <f t="shared" si="9"/>
        <v>7139.8853418175449</v>
      </c>
      <c r="H139" s="885">
        <v>1032.9677972560974</v>
      </c>
      <c r="I139" s="886">
        <v>31.413681402439025</v>
      </c>
      <c r="J139" s="754">
        <f t="shared" si="16"/>
        <v>1064.3814786585365</v>
      </c>
      <c r="K139" s="891">
        <v>201.10888686684865</v>
      </c>
      <c r="L139" s="892">
        <v>30.89111313315135</v>
      </c>
      <c r="M139" s="758">
        <f t="shared" si="10"/>
        <v>232</v>
      </c>
      <c r="N139" s="891">
        <v>0</v>
      </c>
      <c r="O139" s="892">
        <v>0</v>
      </c>
      <c r="P139" s="758">
        <f t="shared" si="11"/>
        <v>0</v>
      </c>
      <c r="Q139" s="891">
        <v>342.40092969203954</v>
      </c>
      <c r="R139" s="896">
        <v>1.5990703079604884</v>
      </c>
      <c r="S139" s="754">
        <f t="shared" si="12"/>
        <v>344</v>
      </c>
      <c r="T139" s="85">
        <f t="shared" si="13"/>
        <v>8797.2668204760812</v>
      </c>
      <c r="V139" s="763">
        <f t="shared" si="17"/>
        <v>0</v>
      </c>
      <c r="W139" s="900">
        <v>0</v>
      </c>
      <c r="X139" s="901">
        <v>0</v>
      </c>
      <c r="Y139" s="130"/>
      <c r="Z139" s="767">
        <f t="shared" si="18"/>
        <v>7.021367521367516</v>
      </c>
      <c r="AA139" s="903">
        <v>45.978632478632484</v>
      </c>
      <c r="AB139" s="769">
        <f t="shared" si="14"/>
        <v>53</v>
      </c>
      <c r="AD139" s="733" t="str">
        <f t="shared" si="19"/>
        <v>Tallahassee Community College</v>
      </c>
      <c r="AE139" s="906">
        <v>48</v>
      </c>
      <c r="AF139" s="906">
        <v>5</v>
      </c>
      <c r="AG139" s="772">
        <f t="shared" si="15"/>
        <v>53</v>
      </c>
    </row>
    <row r="140" spans="1:48" ht="25.15" customHeight="1" thickBot="1">
      <c r="A140" s="734" t="str">
        <f t="shared" si="7"/>
        <v>Valencia College</v>
      </c>
      <c r="B140" s="879">
        <v>458</v>
      </c>
      <c r="C140" s="92"/>
      <c r="D140" s="755">
        <f t="shared" si="8"/>
        <v>458</v>
      </c>
      <c r="E140" s="879">
        <v>19216.157186617264</v>
      </c>
      <c r="F140" s="882">
        <v>1310.9947448549101</v>
      </c>
      <c r="G140" s="755">
        <f t="shared" si="9"/>
        <v>20527.151931472174</v>
      </c>
      <c r="H140" s="887">
        <v>7257.3261303869203</v>
      </c>
      <c r="I140" s="888">
        <v>413.08190973213192</v>
      </c>
      <c r="J140" s="757">
        <f t="shared" si="16"/>
        <v>7670.4080401190522</v>
      </c>
      <c r="K140" s="893">
        <v>1067.5561280824438</v>
      </c>
      <c r="L140" s="894">
        <v>152.44387191755615</v>
      </c>
      <c r="M140" s="759">
        <f t="shared" si="10"/>
        <v>1220</v>
      </c>
      <c r="N140" s="893">
        <v>76.537537537537531</v>
      </c>
      <c r="O140" s="894">
        <v>0.46246246246246236</v>
      </c>
      <c r="P140" s="759">
        <f t="shared" si="11"/>
        <v>77</v>
      </c>
      <c r="Q140" s="893">
        <v>293.01487603305787</v>
      </c>
      <c r="R140" s="897">
        <v>8.9851239669421492</v>
      </c>
      <c r="S140" s="755">
        <f t="shared" si="12"/>
        <v>302</v>
      </c>
      <c r="T140" s="86">
        <f t="shared" si="13"/>
        <v>30254.559971591225</v>
      </c>
      <c r="V140" s="764">
        <f t="shared" si="17"/>
        <v>0</v>
      </c>
      <c r="W140" s="898">
        <v>0</v>
      </c>
      <c r="X140" s="899">
        <v>0</v>
      </c>
      <c r="Y140" s="130"/>
      <c r="Z140" s="768">
        <f t="shared" si="18"/>
        <v>0</v>
      </c>
      <c r="AA140" s="904">
        <v>0</v>
      </c>
      <c r="AB140" s="769">
        <f t="shared" si="14"/>
        <v>0</v>
      </c>
      <c r="AD140" s="734" t="str">
        <f t="shared" si="19"/>
        <v>Valencia College</v>
      </c>
      <c r="AE140" s="907">
        <v>0</v>
      </c>
      <c r="AF140" s="907">
        <v>0</v>
      </c>
      <c r="AG140" s="755">
        <f t="shared" si="15"/>
        <v>0</v>
      </c>
    </row>
    <row r="141" spans="1:48" ht="25.15" customHeight="1" thickBot="1">
      <c r="A141" s="735" t="s">
        <v>2</v>
      </c>
      <c r="B141" s="736">
        <f t="shared" ref="B141" si="20">SUM(B113:B140)</f>
        <v>17842</v>
      </c>
      <c r="C141" s="114"/>
      <c r="D141" s="756">
        <f t="shared" ref="D141:T141" si="21">SUM(D113:D140)</f>
        <v>17842</v>
      </c>
      <c r="E141" s="736">
        <f t="shared" si="21"/>
        <v>181633.38560182907</v>
      </c>
      <c r="F141" s="737">
        <f t="shared" si="21"/>
        <v>7522.6759951655768</v>
      </c>
      <c r="G141" s="756">
        <f t="shared" si="21"/>
        <v>189156.06159699467</v>
      </c>
      <c r="H141" s="777">
        <f t="shared" si="21"/>
        <v>53193.871475754218</v>
      </c>
      <c r="I141" s="737">
        <f t="shared" si="21"/>
        <v>1868.0856120059245</v>
      </c>
      <c r="J141" s="756">
        <f t="shared" si="21"/>
        <v>55061.957087760144</v>
      </c>
      <c r="K141" s="777">
        <f t="shared" si="21"/>
        <v>10876.833509557811</v>
      </c>
      <c r="L141" s="779">
        <f t="shared" si="21"/>
        <v>893.16649044218889</v>
      </c>
      <c r="M141" s="760">
        <f t="shared" si="21"/>
        <v>11770</v>
      </c>
      <c r="N141" s="777">
        <f t="shared" si="21"/>
        <v>432.8301378310573</v>
      </c>
      <c r="O141" s="779">
        <f t="shared" si="21"/>
        <v>6.1698621689427773</v>
      </c>
      <c r="P141" s="760">
        <f t="shared" si="21"/>
        <v>439</v>
      </c>
      <c r="Q141" s="776">
        <f t="shared" si="21"/>
        <v>8724.145510857019</v>
      </c>
      <c r="R141" s="778">
        <f t="shared" si="21"/>
        <v>224.07462552275894</v>
      </c>
      <c r="S141" s="761">
        <f t="shared" si="21"/>
        <v>8948.2201363797758</v>
      </c>
      <c r="T141" s="115">
        <f t="shared" si="21"/>
        <v>283217.23882113455</v>
      </c>
      <c r="U141" s="116"/>
      <c r="V141" s="765">
        <f t="shared" ref="V141:AB141" si="22">SUM(V113:V140)</f>
        <v>3</v>
      </c>
      <c r="W141" s="777">
        <f t="shared" si="22"/>
        <v>4</v>
      </c>
      <c r="X141" s="775">
        <f t="shared" si="22"/>
        <v>7</v>
      </c>
      <c r="Y141" s="117"/>
      <c r="Z141" s="765">
        <f t="shared" si="22"/>
        <v>1787.9377918277305</v>
      </c>
      <c r="AA141" s="776">
        <f t="shared" si="22"/>
        <v>3320.062208172269</v>
      </c>
      <c r="AB141" s="770">
        <f t="shared" si="22"/>
        <v>5108</v>
      </c>
      <c r="AC141" s="116"/>
      <c r="AD141" s="735" t="s">
        <v>2</v>
      </c>
      <c r="AE141" s="775">
        <f>SUM(AE113:AE140)</f>
        <v>4395</v>
      </c>
      <c r="AF141" s="775">
        <f>SUM(AF113:AF140)</f>
        <v>713</v>
      </c>
      <c r="AG141" s="756">
        <f>SUM(AG113:AG140)</f>
        <v>5108</v>
      </c>
      <c r="AH141" s="116"/>
      <c r="AI141" s="116"/>
      <c r="AJ141" s="116"/>
      <c r="AK141" s="116"/>
      <c r="AL141" s="116"/>
      <c r="AM141" s="116"/>
      <c r="AN141" s="116"/>
      <c r="AO141" s="116"/>
      <c r="AP141" s="116"/>
      <c r="AQ141" s="116"/>
      <c r="AR141" s="116"/>
    </row>
    <row r="142" spans="1:48" ht="13.9" customHeight="1">
      <c r="A142" s="724"/>
      <c r="B142" s="725"/>
      <c r="C142" s="725"/>
      <c r="D142" s="725"/>
      <c r="E142" s="725"/>
      <c r="F142" s="725"/>
      <c r="G142" s="725"/>
      <c r="H142" s="725"/>
      <c r="I142" s="725"/>
      <c r="J142" s="725"/>
      <c r="K142" s="725"/>
      <c r="L142" s="725"/>
      <c r="M142" s="725"/>
      <c r="N142" s="725"/>
      <c r="O142" s="725"/>
      <c r="P142" s="725"/>
      <c r="Q142" s="725"/>
      <c r="R142" s="725"/>
      <c r="S142" s="725"/>
      <c r="T142" s="725"/>
      <c r="U142" s="730"/>
      <c r="V142" s="727"/>
      <c r="W142" s="727"/>
      <c r="X142" s="727"/>
      <c r="Y142" s="727"/>
      <c r="Z142" s="727"/>
      <c r="AA142" s="727"/>
      <c r="AB142" s="727"/>
      <c r="AC142" s="730"/>
      <c r="AD142" s="724"/>
      <c r="AE142" s="118"/>
      <c r="AF142" s="118"/>
      <c r="AG142" s="118"/>
      <c r="AH142" s="726"/>
      <c r="AI142" s="726"/>
      <c r="AJ142" s="726"/>
      <c r="AK142" s="726"/>
      <c r="AL142" s="726"/>
      <c r="AM142" s="726"/>
      <c r="AN142" s="726"/>
      <c r="AO142" s="726"/>
      <c r="AP142" s="726"/>
      <c r="AQ142" s="726"/>
      <c r="AR142" s="726"/>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43" t="s">
        <v>631</v>
      </c>
      <c r="B145" s="1343"/>
      <c r="C145" s="1343"/>
      <c r="D145" s="1343"/>
      <c r="E145" s="132"/>
    </row>
    <row r="146" spans="1:5">
      <c r="A146" s="1342" t="s">
        <v>630</v>
      </c>
      <c r="B146" s="1342"/>
      <c r="C146" s="1342"/>
      <c r="D146" s="1342"/>
    </row>
    <row r="147" spans="1:5">
      <c r="A147" s="1320" t="s">
        <v>644</v>
      </c>
      <c r="B147" s="1320"/>
      <c r="C147" s="1320"/>
      <c r="D147" s="1320"/>
      <c r="E147" s="1320"/>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55" zoomScaleNormal="55" workbookViewId="0">
      <selection activeCell="I77" sqref="I77"/>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193" t="s">
        <v>259</v>
      </c>
      <c r="B1" s="1193"/>
      <c r="C1" s="1193"/>
      <c r="D1" s="1193"/>
      <c r="E1" s="1193"/>
      <c r="F1" s="1193"/>
      <c r="G1" s="1193"/>
      <c r="H1" s="157"/>
      <c r="I1" s="157"/>
    </row>
    <row r="2" spans="1:53" ht="19.899999999999999" customHeight="1">
      <c r="A2" s="1193" t="s">
        <v>761</v>
      </c>
      <c r="B2" s="1193"/>
      <c r="C2" s="1193"/>
      <c r="D2" s="1193"/>
      <c r="E2" s="1193"/>
      <c r="F2" s="1193"/>
      <c r="G2" s="1193"/>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193"/>
      <c r="B3" s="1193"/>
      <c r="C3" s="1193"/>
      <c r="D3" s="1193"/>
      <c r="E3" s="1193"/>
      <c r="F3" s="1193"/>
      <c r="G3" s="1193"/>
      <c r="H3" s="159"/>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194" t="s">
        <v>723</v>
      </c>
      <c r="B4" s="1194"/>
      <c r="C4" s="1194"/>
      <c r="D4" s="1194"/>
      <c r="E4" s="1194"/>
      <c r="F4" s="1194"/>
      <c r="G4" s="1194"/>
      <c r="H4" s="158"/>
      <c r="I4" s="158"/>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195"/>
      <c r="B5" s="1195"/>
      <c r="C5" s="1195"/>
      <c r="D5" s="1196"/>
      <c r="E5" s="1196"/>
      <c r="F5" s="1196"/>
      <c r="G5" s="1197"/>
      <c r="H5" s="159"/>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195"/>
      <c r="B6" s="1195"/>
      <c r="C6" s="1195"/>
      <c r="D6" s="1195"/>
      <c r="E6" s="1195"/>
      <c r="F6" s="1195"/>
      <c r="G6" s="1198"/>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199" t="s">
        <v>587</v>
      </c>
      <c r="B7" s="1195"/>
      <c r="C7" s="1200" t="s">
        <v>3</v>
      </c>
      <c r="D7" s="1201" t="s">
        <v>682</v>
      </c>
      <c r="E7" s="1201"/>
      <c r="F7" s="1201"/>
      <c r="G7" s="1198"/>
      <c r="H7" s="159"/>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198"/>
      <c r="B8" s="1198"/>
      <c r="C8" s="1198"/>
      <c r="D8" s="1198"/>
      <c r="E8" s="1198"/>
      <c r="F8" s="1198"/>
      <c r="G8" s="1198"/>
      <c r="H8" s="159"/>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59"/>
      <c r="B9" s="159"/>
      <c r="C9" s="159"/>
      <c r="D9" s="159"/>
      <c r="E9" s="159"/>
      <c r="F9" s="159"/>
      <c r="G9" s="159"/>
      <c r="H9" s="159"/>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8" t="s">
        <v>4</v>
      </c>
      <c r="B10" s="160"/>
      <c r="C10" s="1069" t="s">
        <v>762</v>
      </c>
      <c r="D10" s="1069"/>
      <c r="E10" s="1069"/>
      <c r="F10" s="1069"/>
      <c r="G10" s="1069"/>
      <c r="H10" s="162"/>
      <c r="I10" s="1066"/>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0"/>
      <c r="B11" s="160"/>
      <c r="C11" s="815"/>
      <c r="D11" s="815"/>
      <c r="E11" s="815"/>
      <c r="F11" s="159"/>
      <c r="G11" s="159"/>
      <c r="H11" s="162"/>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3"/>
      <c r="B12" s="163"/>
      <c r="C12" s="1077" t="s">
        <v>581</v>
      </c>
      <c r="D12" s="1077"/>
      <c r="E12" s="1077"/>
      <c r="F12" s="165"/>
      <c r="G12" s="165"/>
      <c r="H12" s="165"/>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1"/>
      <c r="H13" s="165"/>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1"/>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0" t="s">
        <v>5</v>
      </c>
      <c r="B15" s="160"/>
      <c r="C15" s="1079" t="s">
        <v>588</v>
      </c>
      <c r="D15" s="1079"/>
      <c r="E15" s="1079"/>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79"/>
      <c r="B16" s="1079"/>
      <c r="D16" s="159"/>
      <c r="E16" s="159"/>
      <c r="H16" s="159"/>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7">
        <f>IF(+'EXHIBIT A'!E44&gt;=0.0499,+'EXHIBIT A'!E44,"PERCENTAGE DOES NOT MEET STATUTORY GUIDELINES")</f>
        <v>4.9968214579090703E-2</v>
      </c>
      <c r="D17" s="1087"/>
      <c r="E17" s="1087"/>
      <c r="F17" s="1087"/>
      <c r="G17" s="1087"/>
      <c r="H17" s="159"/>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374"/>
      <c r="B18" s="1374"/>
      <c r="C18" s="1375" t="s">
        <v>726</v>
      </c>
      <c r="D18" s="1375"/>
      <c r="E18" s="1375"/>
      <c r="F18" s="1375"/>
      <c r="G18" s="1375"/>
      <c r="H18" s="159"/>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79"/>
      <c r="B19" s="1079"/>
      <c r="C19" s="157"/>
      <c r="D19" s="157"/>
      <c r="E19" s="157"/>
      <c r="F19" s="159"/>
      <c r="G19" s="159"/>
      <c r="H19" s="159"/>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0" t="s">
        <v>6</v>
      </c>
      <c r="B21" s="160"/>
      <c r="C21" s="1078" t="s">
        <v>613</v>
      </c>
      <c r="D21" s="1078"/>
      <c r="E21" s="1078"/>
      <c r="F21" s="49"/>
      <c r="G21" s="49"/>
      <c r="H21" s="159"/>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59"/>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7" t="s">
        <v>612</v>
      </c>
      <c r="H23" s="159"/>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8"/>
      <c r="B24" s="168"/>
      <c r="C24" s="167" t="s">
        <v>636</v>
      </c>
      <c r="D24" s="167"/>
      <c r="E24" s="159"/>
      <c r="F24" s="159"/>
      <c r="G24" s="159"/>
      <c r="H24" s="159"/>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69"/>
      <c r="B25" s="169"/>
      <c r="C25" s="167" t="s">
        <v>634</v>
      </c>
      <c r="D25" s="167"/>
      <c r="E25" s="170"/>
      <c r="F25" s="167"/>
      <c r="G25" s="159"/>
      <c r="H25" s="159"/>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69"/>
      <c r="B26" s="169"/>
      <c r="C26" s="167" t="s">
        <v>647</v>
      </c>
      <c r="D26" s="167"/>
      <c r="E26" s="170"/>
      <c r="F26" s="167"/>
      <c r="G26" s="159"/>
      <c r="H26" s="159"/>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69"/>
      <c r="B27" s="169"/>
      <c r="C27" s="167" t="s">
        <v>648</v>
      </c>
      <c r="D27" s="167"/>
      <c r="E27" s="167"/>
      <c r="F27" s="167"/>
      <c r="G27" s="159"/>
      <c r="H27" s="159"/>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1"/>
      <c r="B28" s="171"/>
      <c r="C28" s="167" t="s">
        <v>635</v>
      </c>
      <c r="D28" s="33"/>
      <c r="E28" s="33"/>
      <c r="F28" s="33"/>
      <c r="H28" s="159"/>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1"/>
      <c r="B29" s="171"/>
      <c r="C29" s="33" t="s">
        <v>649</v>
      </c>
      <c r="D29" s="167"/>
      <c r="E29" s="167"/>
      <c r="F29" s="167"/>
      <c r="G29" s="159"/>
      <c r="H29" s="159"/>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1"/>
      <c r="B30" s="171"/>
      <c r="C30" s="33"/>
      <c r="D30" s="167"/>
      <c r="E30" s="167"/>
      <c r="F30" s="167"/>
      <c r="G30" s="159"/>
      <c r="H30" s="159"/>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1"/>
      <c r="B31" s="171"/>
      <c r="D31" s="167"/>
      <c r="E31" s="167"/>
      <c r="F31" s="167"/>
      <c r="G31" s="159"/>
      <c r="H31" s="159"/>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2" t="s">
        <v>212</v>
      </c>
      <c r="B32" s="172"/>
      <c r="C32" s="166" t="s">
        <v>580</v>
      </c>
      <c r="D32" s="159"/>
      <c r="E32" s="167"/>
      <c r="F32" s="167"/>
      <c r="G32" s="159"/>
      <c r="H32" s="159"/>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3"/>
      <c r="B33" s="173"/>
      <c r="C33" s="174"/>
      <c r="D33" s="159"/>
      <c r="E33" s="167"/>
      <c r="F33" s="167"/>
      <c r="G33" s="159"/>
      <c r="H33" s="159"/>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3"/>
      <c r="B34" s="173"/>
      <c r="C34" s="783" t="str">
        <f>IF(+'EXHIBIT C'!H46+'EXHIBIT C(2)'!E30='EXHIBIT D'!G44,"Equal","Not Equal")</f>
        <v>Equal</v>
      </c>
      <c r="D34" s="159"/>
      <c r="E34" s="159"/>
      <c r="F34" s="159"/>
      <c r="G34" s="159"/>
      <c r="H34" s="159"/>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3"/>
      <c r="B35" s="173"/>
      <c r="C35" s="175"/>
      <c r="D35" s="159"/>
      <c r="E35" s="159"/>
      <c r="F35" s="159"/>
      <c r="G35" s="159"/>
      <c r="H35" s="159"/>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59"/>
      <c r="F36" s="159"/>
      <c r="G36" s="159"/>
      <c r="H36" s="159"/>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0" t="s">
        <v>231</v>
      </c>
      <c r="B37" s="160"/>
      <c r="C37" s="166" t="s">
        <v>589</v>
      </c>
      <c r="D37" s="159"/>
      <c r="E37" s="159"/>
      <c r="F37" s="176"/>
      <c r="G37" s="159"/>
      <c r="H37" s="159"/>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6" t="s">
        <v>585</v>
      </c>
      <c r="D38" s="159"/>
      <c r="E38" s="159"/>
      <c r="F38" s="177"/>
      <c r="G38" s="159"/>
      <c r="H38" s="159"/>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59"/>
      <c r="H39" s="159"/>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8"/>
      <c r="D40" s="179" t="s">
        <v>741</v>
      </c>
      <c r="E40" s="179" t="str">
        <f>D40</f>
        <v>2019-20</v>
      </c>
      <c r="F40" s="180"/>
      <c r="G40" s="181"/>
      <c r="H40" s="159"/>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2"/>
      <c r="D41" s="183" t="s">
        <v>582</v>
      </c>
      <c r="E41" s="184" t="s">
        <v>229</v>
      </c>
      <c r="F41" s="184"/>
      <c r="G41" s="185" t="s">
        <v>218</v>
      </c>
      <c r="H41" s="159"/>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6"/>
      <c r="D42" s="183" t="s">
        <v>225</v>
      </c>
      <c r="E42" s="184" t="s">
        <v>228</v>
      </c>
      <c r="F42" s="184" t="s">
        <v>217</v>
      </c>
      <c r="G42" s="185" t="s">
        <v>223</v>
      </c>
      <c r="H42" s="159"/>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2" t="s">
        <v>221</v>
      </c>
      <c r="D43" s="183" t="s">
        <v>226</v>
      </c>
      <c r="E43" s="184" t="s">
        <v>220</v>
      </c>
      <c r="F43" s="184" t="s">
        <v>218</v>
      </c>
      <c r="G43" s="187" t="s">
        <v>224</v>
      </c>
      <c r="H43" s="159"/>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8" t="s">
        <v>337</v>
      </c>
      <c r="D44" s="189">
        <f>VLOOKUP($D$7,VLOOKUP!$A$113:$S$141,2)*30+D68</f>
        <v>390</v>
      </c>
      <c r="E44" s="190">
        <f>+'EXHIBIT C'!F10</f>
        <v>960</v>
      </c>
      <c r="F44" s="191">
        <f t="shared" ref="F44:F50" si="0">IF(D44=0,"0",(E44/D44-1))</f>
        <v>1.4615384615384617</v>
      </c>
      <c r="G44" s="192" t="str">
        <f t="shared" ref="G44:G50" si="1">IF(OR(F44&gt;3%, F44&lt;-3%),"YES","NO")</f>
        <v>YES</v>
      </c>
      <c r="H44" s="159"/>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3" t="s">
        <v>338</v>
      </c>
      <c r="D45" s="194">
        <f>VLOOKUP($D$7,VLOOKUP!$A$113:$S$141,5)*30+D69</f>
        <v>10754.462869502522</v>
      </c>
      <c r="E45" s="195">
        <f>+'EXHIBIT C'!F11</f>
        <v>10830</v>
      </c>
      <c r="F45" s="196">
        <f t="shared" si="0"/>
        <v>7.0237938811137379E-3</v>
      </c>
      <c r="G45" s="197" t="str">
        <f t="shared" si="1"/>
        <v>NO</v>
      </c>
      <c r="H45" s="159"/>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8" t="s">
        <v>27</v>
      </c>
      <c r="D46" s="199">
        <f>VLOOKUP($D$7,VLOOKUP!$A$113:$S$141,8)*30</f>
        <v>5493.515625</v>
      </c>
      <c r="E46" s="200">
        <f>+'EXHIBIT C'!F12</f>
        <v>5887.2</v>
      </c>
      <c r="F46" s="196">
        <f t="shared" si="0"/>
        <v>7.1663466871453529E-2</v>
      </c>
      <c r="G46" s="197" t="str">
        <f t="shared" si="1"/>
        <v>YES</v>
      </c>
      <c r="H46" s="159"/>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8" t="s">
        <v>527</v>
      </c>
      <c r="D47" s="199">
        <f>VLOOKUP($D$7,VLOOKUP!$A$113:$S$141,17)*30</f>
        <v>1860</v>
      </c>
      <c r="E47" s="200">
        <f>+'EXHIBIT C'!F13</f>
        <v>2433</v>
      </c>
      <c r="F47" s="196">
        <f t="shared" si="0"/>
        <v>0.3080645161290323</v>
      </c>
      <c r="G47" s="197" t="str">
        <f t="shared" si="1"/>
        <v>YES</v>
      </c>
      <c r="H47" s="159"/>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8" t="s">
        <v>462</v>
      </c>
      <c r="D48" s="199">
        <f>VLOOKUP($D$7,VLOOKUP!$A$113:$S$141,11)*30</f>
        <v>422.91891891891891</v>
      </c>
      <c r="E48" s="200">
        <f>+'EXHIBIT C'!F14</f>
        <v>489</v>
      </c>
      <c r="F48" s="196">
        <f t="shared" si="0"/>
        <v>0.15625</v>
      </c>
      <c r="G48" s="197" t="str">
        <f t="shared" si="1"/>
        <v>YES</v>
      </c>
      <c r="H48" s="159"/>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1" t="s">
        <v>246</v>
      </c>
      <c r="D49" s="202">
        <f>VLOOKUP($D$7,VLOOKUP!$A$113:$S$141,14)*30</f>
        <v>0</v>
      </c>
      <c r="E49" s="203">
        <f>+'EXHIBIT C'!F15</f>
        <v>0</v>
      </c>
      <c r="F49" s="204" t="str">
        <f t="shared" si="0"/>
        <v>0</v>
      </c>
      <c r="G49" s="205" t="str">
        <f t="shared" si="1"/>
        <v>NO</v>
      </c>
      <c r="H49" s="159"/>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6" t="s">
        <v>2</v>
      </c>
      <c r="D50" s="207">
        <f>SUM(D44:D49)</f>
        <v>18920.897413421444</v>
      </c>
      <c r="E50" s="208">
        <f>+'EXHIBIT C'!F17</f>
        <v>20599.2</v>
      </c>
      <c r="F50" s="209">
        <f t="shared" si="0"/>
        <v>8.8701003441203685E-2</v>
      </c>
      <c r="G50" s="210" t="str">
        <f t="shared" si="1"/>
        <v>YES</v>
      </c>
      <c r="H50" s="159"/>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02" t="s">
        <v>590</v>
      </c>
      <c r="D51" s="1203"/>
      <c r="E51" s="1203"/>
      <c r="F51" s="1203"/>
      <c r="G51" s="1204"/>
      <c r="H51" s="159"/>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205" t="s">
        <v>461</v>
      </c>
      <c r="D52" s="1206"/>
      <c r="E52" s="1206"/>
      <c r="F52" s="1206"/>
      <c r="G52" s="1207"/>
      <c r="H52" s="211"/>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 customHeight="1">
      <c r="C53" s="1211" t="s">
        <v>792</v>
      </c>
      <c r="D53" s="1212"/>
      <c r="E53" s="1212"/>
      <c r="F53" s="1212"/>
      <c r="G53" s="1213"/>
      <c r="H53" s="211"/>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hidden="1" customHeight="1">
      <c r="C54" s="1214"/>
      <c r="D54" s="1215"/>
      <c r="E54" s="1215"/>
      <c r="F54" s="1215"/>
      <c r="G54" s="1216"/>
      <c r="H54" s="211"/>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hidden="1" customHeight="1">
      <c r="C55" s="1214"/>
      <c r="D55" s="1215"/>
      <c r="E55" s="1215"/>
      <c r="F55" s="1215"/>
      <c r="G55" s="1216"/>
      <c r="H55" s="211"/>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hidden="1" customHeight="1">
      <c r="C56" s="1214"/>
      <c r="D56" s="1215"/>
      <c r="E56" s="1215"/>
      <c r="F56" s="1215"/>
      <c r="G56" s="1216"/>
      <c r="H56" s="211"/>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hidden="1" customHeight="1">
      <c r="C57" s="1214"/>
      <c r="D57" s="1215"/>
      <c r="E57" s="1215"/>
      <c r="F57" s="1215"/>
      <c r="G57" s="1216"/>
      <c r="H57" s="211"/>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hidden="1" customHeight="1">
      <c r="C58" s="1214"/>
      <c r="D58" s="1215"/>
      <c r="E58" s="1215"/>
      <c r="F58" s="1215"/>
      <c r="G58" s="1216"/>
      <c r="H58" s="211"/>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hidden="1" customHeight="1">
      <c r="C59" s="1214"/>
      <c r="D59" s="1215"/>
      <c r="E59" s="1215"/>
      <c r="F59" s="1215"/>
      <c r="G59" s="1216"/>
      <c r="H59" s="211"/>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hidden="1" customHeight="1">
      <c r="C60" s="1214"/>
      <c r="D60" s="1215"/>
      <c r="E60" s="1215"/>
      <c r="F60" s="1215"/>
      <c r="G60" s="1216"/>
      <c r="H60" s="211"/>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hidden="1" customHeight="1">
      <c r="C61" s="1214"/>
      <c r="D61" s="1215"/>
      <c r="E61" s="1215"/>
      <c r="F61" s="1215"/>
      <c r="G61" s="1216"/>
      <c r="H61" s="211"/>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208"/>
      <c r="D62" s="1209"/>
      <c r="E62" s="1209"/>
      <c r="F62" s="1209"/>
      <c r="G62" s="1210"/>
      <c r="H62" s="211"/>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2" customFormat="1" ht="19.899999999999999" customHeight="1" thickBot="1">
      <c r="C63" s="213"/>
      <c r="D63" s="214"/>
      <c r="E63" s="215"/>
      <c r="F63" s="215"/>
      <c r="G63" s="216"/>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8"/>
      <c r="D64" s="179" t="str">
        <f>D40</f>
        <v>2019-20</v>
      </c>
      <c r="E64" s="179" t="str">
        <f>E40</f>
        <v>2019-20</v>
      </c>
      <c r="F64" s="180"/>
      <c r="G64" s="181"/>
      <c r="H64" s="211"/>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2"/>
      <c r="D65" s="183" t="s">
        <v>232</v>
      </c>
      <c r="E65" s="184" t="s">
        <v>230</v>
      </c>
      <c r="F65" s="184"/>
      <c r="G65" s="187" t="s">
        <v>218</v>
      </c>
      <c r="H65" s="211"/>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6"/>
      <c r="D66" s="183" t="s">
        <v>225</v>
      </c>
      <c r="E66" s="184" t="s">
        <v>228</v>
      </c>
      <c r="F66" s="184" t="s">
        <v>217</v>
      </c>
      <c r="G66" s="187" t="s">
        <v>223</v>
      </c>
      <c r="H66" s="211"/>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7" t="s">
        <v>8</v>
      </c>
      <c r="D67" s="218" t="s">
        <v>226</v>
      </c>
      <c r="E67" s="219" t="s">
        <v>220</v>
      </c>
      <c r="F67" s="219" t="s">
        <v>218</v>
      </c>
      <c r="G67" s="220" t="s">
        <v>227</v>
      </c>
      <c r="H67" s="211"/>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8" t="s">
        <v>337</v>
      </c>
      <c r="D68" s="221">
        <f>VLOOKUP($D$7,VLOOKUP!$A$113:$S$141,3)*30</f>
        <v>0</v>
      </c>
      <c r="E68" s="222">
        <f>+'EXHIBIT C'!D19</f>
        <v>0</v>
      </c>
      <c r="F68" s="223" t="str">
        <f t="shared" ref="F68:F74" si="2">IF(D68=0,"0",(E68/D68-1))</f>
        <v>0</v>
      </c>
      <c r="G68" s="224"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3" t="s">
        <v>338</v>
      </c>
      <c r="D69" s="221">
        <f>VLOOKUP($D$7,VLOOKUP!$A$113:$S$141,6)*30</f>
        <v>1001.0958904109588</v>
      </c>
      <c r="E69" s="225">
        <f>+'EXHIBIT C'!D20</f>
        <v>1047</v>
      </c>
      <c r="F69" s="223">
        <f t="shared" si="2"/>
        <v>4.5853858784893342E-2</v>
      </c>
      <c r="G69" s="224" t="str">
        <f t="shared" ref="G69:G74" si="3">IF(OR(F69&gt;5%, F69&lt;-5%),"YES","NO")</f>
        <v>NO</v>
      </c>
      <c r="H69" s="159"/>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8" t="s">
        <v>27</v>
      </c>
      <c r="D70" s="226">
        <f>VLOOKUP($D$7,VLOOKUP!$A$113:$S$141,9)*30</f>
        <v>676.40624999999989</v>
      </c>
      <c r="E70" s="227">
        <f>+'EXHIBIT C'!D21</f>
        <v>775</v>
      </c>
      <c r="F70" s="223">
        <f t="shared" si="2"/>
        <v>0.14576114576114585</v>
      </c>
      <c r="G70" s="224" t="str">
        <f t="shared" si="3"/>
        <v>YES</v>
      </c>
      <c r="H70" s="159"/>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8" t="s">
        <v>527</v>
      </c>
      <c r="D71" s="226">
        <f>VLOOKUP($D$7,VLOOKUP!$A$113:$S$141,18)*30</f>
        <v>0</v>
      </c>
      <c r="E71" s="227">
        <f>+'EXHIBIT C'!D22</f>
        <v>122</v>
      </c>
      <c r="F71" s="223" t="str">
        <f t="shared" si="2"/>
        <v>0</v>
      </c>
      <c r="G71" s="224" t="str">
        <f t="shared" si="3"/>
        <v>NO</v>
      </c>
      <c r="H71" s="159"/>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8" t="s">
        <v>462</v>
      </c>
      <c r="D72" s="226">
        <f>VLOOKUP($D$7,VLOOKUP!$A$113:$S$141,12)*30</f>
        <v>57.081081081081081</v>
      </c>
      <c r="E72" s="227">
        <f>+'EXHIBIT C'!D23</f>
        <v>59</v>
      </c>
      <c r="F72" s="223">
        <f t="shared" si="2"/>
        <v>3.361742424242431E-2</v>
      </c>
      <c r="G72" s="224" t="str">
        <f t="shared" si="3"/>
        <v>NO</v>
      </c>
      <c r="H72" s="159"/>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1" t="s">
        <v>246</v>
      </c>
      <c r="D73" s="228">
        <f>VLOOKUP($D$7,VLOOKUP!$A$113:$S$141,15)*30</f>
        <v>0</v>
      </c>
      <c r="E73" s="229">
        <f>+'EXHIBIT C'!D24</f>
        <v>0</v>
      </c>
      <c r="F73" s="230" t="str">
        <f t="shared" si="2"/>
        <v>0</v>
      </c>
      <c r="G73" s="231" t="str">
        <f t="shared" si="3"/>
        <v>NO</v>
      </c>
      <c r="H73" s="159"/>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6" t="s">
        <v>2</v>
      </c>
      <c r="D74" s="232">
        <f>SUM(D68:D73)</f>
        <v>1734.5832214920397</v>
      </c>
      <c r="E74" s="233">
        <f>SUM(E68:E73)</f>
        <v>2003</v>
      </c>
      <c r="F74" s="234">
        <f t="shared" si="2"/>
        <v>0.15474424932870945</v>
      </c>
      <c r="G74" s="235" t="str">
        <f t="shared" si="3"/>
        <v>YES</v>
      </c>
      <c r="H74" s="159"/>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8.75" customHeight="1" thickBot="1">
      <c r="C75" s="1202" t="s">
        <v>591</v>
      </c>
      <c r="D75" s="1203"/>
      <c r="E75" s="1203"/>
      <c r="F75" s="1203"/>
      <c r="G75" s="1204"/>
      <c r="H75" s="159"/>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3"/>
      <c r="B76" s="173"/>
      <c r="C76" s="1081" t="s">
        <v>461</v>
      </c>
      <c r="D76" s="1082"/>
      <c r="E76" s="1082"/>
      <c r="F76" s="1082"/>
      <c r="G76" s="1083"/>
      <c r="H76" s="159"/>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48.5" customHeight="1">
      <c r="A77" s="173"/>
      <c r="B77" s="173"/>
      <c r="C77" s="1364" t="s">
        <v>791</v>
      </c>
      <c r="D77" s="1365"/>
      <c r="E77" s="1365"/>
      <c r="F77" s="1365"/>
      <c r="G77" s="1366"/>
      <c r="H77" s="159"/>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hidden="1" customHeight="1">
      <c r="A78" s="173"/>
      <c r="B78" s="173"/>
      <c r="C78" s="1089"/>
      <c r="D78" s="1090"/>
      <c r="E78" s="1090"/>
      <c r="F78" s="1090"/>
      <c r="G78" s="1091"/>
      <c r="H78" s="159"/>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hidden="1" customHeight="1">
      <c r="A79" s="173"/>
      <c r="B79" s="173"/>
      <c r="C79" s="1089"/>
      <c r="D79" s="1090"/>
      <c r="E79" s="1090"/>
      <c r="F79" s="1090"/>
      <c r="G79" s="1091"/>
      <c r="H79" s="159"/>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hidden="1" customHeight="1">
      <c r="A80" s="173"/>
      <c r="B80" s="173"/>
      <c r="C80" s="1089"/>
      <c r="D80" s="1090"/>
      <c r="E80" s="1090"/>
      <c r="F80" s="1090"/>
      <c r="G80" s="1091"/>
      <c r="H80" s="159"/>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hidden="1" customHeight="1">
      <c r="A81" s="173"/>
      <c r="B81" s="173"/>
      <c r="C81" s="1089"/>
      <c r="D81" s="1090"/>
      <c r="E81" s="1090"/>
      <c r="F81" s="1090"/>
      <c r="G81" s="1091"/>
      <c r="H81" s="159"/>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hidden="1" customHeight="1">
      <c r="A82" s="173"/>
      <c r="B82" s="173"/>
      <c r="C82" s="1089"/>
      <c r="D82" s="1090"/>
      <c r="E82" s="1090"/>
      <c r="F82" s="1090"/>
      <c r="G82" s="1091"/>
      <c r="H82" s="159"/>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hidden="1" customHeight="1">
      <c r="A83" s="173"/>
      <c r="B83" s="173"/>
      <c r="C83" s="1089"/>
      <c r="D83" s="1090"/>
      <c r="E83" s="1090"/>
      <c r="F83" s="1090"/>
      <c r="G83" s="1091"/>
      <c r="H83" s="159"/>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hidden="1" customHeight="1">
      <c r="A84" s="173"/>
      <c r="B84" s="173"/>
      <c r="C84" s="1089"/>
      <c r="D84" s="1090"/>
      <c r="E84" s="1090"/>
      <c r="F84" s="1090"/>
      <c r="G84" s="1091"/>
      <c r="H84" s="159"/>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hidden="1" customHeight="1">
      <c r="A85" s="173"/>
      <c r="B85" s="173"/>
      <c r="C85" s="1089"/>
      <c r="D85" s="1090"/>
      <c r="E85" s="1090"/>
      <c r="F85" s="1090"/>
      <c r="G85" s="1091"/>
      <c r="H85" s="159"/>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3"/>
      <c r="B86" s="173"/>
      <c r="C86" s="1092"/>
      <c r="D86" s="1093"/>
      <c r="E86" s="1093"/>
      <c r="F86" s="1093"/>
      <c r="G86" s="1094"/>
      <c r="H86" s="159"/>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59"/>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59"/>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2" t="s">
        <v>213</v>
      </c>
      <c r="B89" s="172"/>
      <c r="C89" s="236" t="s">
        <v>511</v>
      </c>
      <c r="D89" s="159"/>
      <c r="E89" s="159"/>
      <c r="F89" s="159"/>
      <c r="G89" s="159"/>
      <c r="H89" s="159"/>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3"/>
      <c r="B90" s="173"/>
      <c r="C90" s="167"/>
      <c r="D90" s="159"/>
      <c r="E90" s="159"/>
      <c r="F90" s="159"/>
      <c r="G90" s="159"/>
      <c r="H90" s="159"/>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3"/>
      <c r="B91" s="173"/>
      <c r="C91" s="237" t="s">
        <v>43</v>
      </c>
      <c r="D91" s="159"/>
      <c r="E91" s="159"/>
      <c r="F91" s="159"/>
      <c r="G91" s="159"/>
      <c r="H91" s="159"/>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3"/>
      <c r="B92" s="173"/>
      <c r="C92" s="238" t="str">
        <f>IF(+'EXHIBIT A'!E19='EXHIBIT C'!B69,"Equal","Not Equal")</f>
        <v>Equal</v>
      </c>
      <c r="D92" s="159" t="s">
        <v>579</v>
      </c>
      <c r="E92" s="159"/>
      <c r="F92" s="159"/>
      <c r="G92" s="159"/>
      <c r="H92" s="159"/>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3"/>
      <c r="B93" s="173"/>
      <c r="C93" s="239" t="str">
        <f>IF('EXHIBIT C'!B69=SUM('EXHIBIT D'!G130+'EXHIBIT D'!G131+'EXHIBIT D'!G132+'EXHIBIT D'!G133),"Equal","Not Equal")</f>
        <v>Equal</v>
      </c>
      <c r="D93" s="159" t="s">
        <v>578</v>
      </c>
      <c r="E93" s="159"/>
      <c r="F93" s="159"/>
      <c r="G93" s="159"/>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3"/>
      <c r="B94" s="173"/>
      <c r="C94" s="240" t="s">
        <v>42</v>
      </c>
      <c r="D94" s="159"/>
      <c r="E94" s="159"/>
      <c r="F94" s="159"/>
      <c r="G94" s="159"/>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8" t="str">
        <f>IF((+'EXHIBIT A'!E26)='EXHIBIT C'!B60,"Equal","Not Equal")</f>
        <v>Equal</v>
      </c>
      <c r="D95" s="159" t="s">
        <v>577</v>
      </c>
      <c r="E95" s="159"/>
      <c r="F95" s="159"/>
      <c r="G95" s="159"/>
      <c r="H95" s="159"/>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3"/>
      <c r="B96" s="173"/>
      <c r="C96" s="239" t="str">
        <f>IF('EXHIBIT C'!B60=SUM('EXHIBIT D'!G227+'EXHIBIT D'!G228+'EXHIBIT D'!G229+'EXHIBIT D'!G230+'EXHIBIT D'!G231),"Equal","Not Equal")</f>
        <v>Equal</v>
      </c>
      <c r="D96" s="159" t="s">
        <v>576</v>
      </c>
      <c r="E96" s="159"/>
      <c r="F96" s="159"/>
      <c r="G96" s="159"/>
      <c r="H96" s="159"/>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2"/>
      <c r="B97" s="172"/>
      <c r="C97" s="241"/>
      <c r="D97" s="159"/>
      <c r="E97" s="159"/>
      <c r="F97" s="159"/>
      <c r="G97" s="159"/>
      <c r="H97" s="159"/>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2"/>
      <c r="B98" s="172"/>
      <c r="C98" s="241"/>
      <c r="D98" s="159"/>
      <c r="E98" s="159"/>
      <c r="F98" s="159"/>
      <c r="G98" s="159"/>
      <c r="H98" s="159"/>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2" t="s">
        <v>214</v>
      </c>
      <c r="B99" s="172"/>
      <c r="C99" s="1367" t="s">
        <v>621</v>
      </c>
      <c r="D99" s="1367"/>
      <c r="E99" s="1367"/>
      <c r="F99" s="1367"/>
      <c r="G99" s="1367"/>
      <c r="H99" s="1076"/>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3"/>
      <c r="B100" s="173"/>
      <c r="C100" s="159"/>
      <c r="D100" s="159"/>
      <c r="E100" s="243"/>
      <c r="F100" s="159"/>
      <c r="G100" s="159"/>
      <c r="H100" s="159"/>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3"/>
      <c r="B101" s="173"/>
      <c r="C101" s="244" t="s">
        <v>558</v>
      </c>
      <c r="D101" s="245" t="s">
        <v>544</v>
      </c>
      <c r="E101" s="244" t="s">
        <v>9</v>
      </c>
      <c r="F101" s="244" t="s">
        <v>218</v>
      </c>
      <c r="G101" s="159"/>
      <c r="H101" s="159"/>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3"/>
      <c r="B102" s="173"/>
      <c r="C102" s="246" t="s">
        <v>599</v>
      </c>
      <c r="D102" s="247">
        <f>VLOOKUP($D$7,VLOOKUP!$A$7:$E$35,2)</f>
        <v>6467490</v>
      </c>
      <c r="E102" s="248">
        <f>+'EXHIBIT D'!G75</f>
        <v>6467490</v>
      </c>
      <c r="F102" s="248">
        <f>D102-E102</f>
        <v>0</v>
      </c>
      <c r="G102" s="159"/>
      <c r="H102" s="159"/>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3"/>
      <c r="B103" s="173"/>
      <c r="C103" s="249" t="s">
        <v>620</v>
      </c>
      <c r="D103" s="247">
        <f>E103</f>
        <v>215061</v>
      </c>
      <c r="E103" s="248">
        <f>'EXHIBIT D'!G77</f>
        <v>215061</v>
      </c>
      <c r="F103" s="248">
        <f>D103-E103</f>
        <v>0</v>
      </c>
      <c r="G103" s="159"/>
      <c r="H103" s="159"/>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3"/>
      <c r="B104" s="173"/>
      <c r="C104" s="249" t="s">
        <v>600</v>
      </c>
      <c r="D104" s="247">
        <f>VLOOKUP($D$7,VLOOKUP!$A$7:$E$35,3)</f>
        <v>863241</v>
      </c>
      <c r="E104" s="248">
        <f>'EXHIBIT D'!G81</f>
        <v>863241</v>
      </c>
      <c r="F104" s="248">
        <f>D104-E104</f>
        <v>0</v>
      </c>
      <c r="G104" s="159"/>
      <c r="H104" s="159"/>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2"/>
      <c r="B105" s="172"/>
      <c r="C105" s="250"/>
      <c r="D105" s="251"/>
      <c r="E105" s="252"/>
      <c r="F105" s="253"/>
      <c r="G105" s="159"/>
      <c r="H105" s="159"/>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2"/>
      <c r="B106" s="172"/>
      <c r="C106" s="254" t="s">
        <v>10</v>
      </c>
      <c r="D106" s="255">
        <f>SUM(D102:D104)</f>
        <v>7545792</v>
      </c>
      <c r="E106" s="255">
        <f t="shared" ref="E106:F106" si="4">SUM(E102:E104)</f>
        <v>7545792</v>
      </c>
      <c r="F106" s="255">
        <f t="shared" si="4"/>
        <v>0</v>
      </c>
      <c r="G106" s="159"/>
      <c r="H106" s="159"/>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2"/>
      <c r="B107" s="172"/>
      <c r="C107" s="256"/>
      <c r="D107" s="256"/>
      <c r="E107" s="256"/>
      <c r="F107" s="159"/>
      <c r="G107" s="159"/>
      <c r="H107" s="159"/>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2"/>
      <c r="B108" s="172"/>
      <c r="C108" s="256"/>
      <c r="D108" s="256"/>
      <c r="E108" s="256"/>
      <c r="F108" s="159"/>
      <c r="G108" s="159"/>
      <c r="H108" s="159"/>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2" t="s">
        <v>390</v>
      </c>
      <c r="B109" s="172"/>
      <c r="C109" s="172" t="s">
        <v>592</v>
      </c>
      <c r="D109" s="159"/>
      <c r="E109" s="159"/>
      <c r="F109" s="159"/>
      <c r="G109" s="159"/>
      <c r="H109" s="159"/>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3"/>
      <c r="B110" s="173"/>
      <c r="C110" s="172"/>
      <c r="D110" s="159"/>
      <c r="E110" s="159"/>
      <c r="F110" s="159"/>
      <c r="G110" s="159"/>
      <c r="H110" s="159"/>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3"/>
      <c r="B111" s="173"/>
      <c r="C111" s="257" t="str">
        <f>IF(+'EXHIBIT E'!B21=+'EXHIBIT D'!G193,"Equal","Not Equal")</f>
        <v>Equal</v>
      </c>
      <c r="D111" s="159" t="s">
        <v>11</v>
      </c>
      <c r="E111" s="159"/>
      <c r="F111" s="159"/>
      <c r="G111" s="162"/>
      <c r="H111" s="159"/>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3"/>
      <c r="B112" s="173"/>
      <c r="C112" s="258" t="str">
        <f>IF(+'EXHIBIT E'!C21=+'EXHIBIT D'!G236,"Equal","Not Equal")</f>
        <v>Equal</v>
      </c>
      <c r="D112" s="159" t="s">
        <v>12</v>
      </c>
      <c r="E112" s="259"/>
      <c r="F112" s="159"/>
      <c r="G112" s="162"/>
      <c r="H112" s="159"/>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8" t="str">
        <f>IF(+'EXHIBIT E'!D21=+'EXHIBIT D'!G251,"Equal","Not Equal")</f>
        <v>Equal</v>
      </c>
      <c r="D113" s="159" t="s">
        <v>13</v>
      </c>
      <c r="E113" s="259"/>
      <c r="F113" s="159"/>
      <c r="G113" s="159"/>
      <c r="H113" s="159"/>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2"/>
      <c r="B114" s="172"/>
      <c r="C114" s="260" t="str">
        <f>IF(+'EXHIBIT E'!E21=+'EXHIBIT D'!G253,"Equal","Not Equal")</f>
        <v>Equal</v>
      </c>
      <c r="D114" s="261" t="s">
        <v>2</v>
      </c>
      <c r="E114" s="259"/>
      <c r="F114" s="159"/>
      <c r="G114" s="162"/>
      <c r="H114" s="159"/>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3"/>
      <c r="B115" s="173"/>
      <c r="E115" s="159"/>
      <c r="F115" s="159"/>
      <c r="G115" s="211"/>
      <c r="H115" s="159"/>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3"/>
      <c r="B116" s="173"/>
      <c r="E116" s="159"/>
      <c r="F116" s="159"/>
      <c r="G116" s="159"/>
      <c r="H116" s="159"/>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2" t="s">
        <v>215</v>
      </c>
      <c r="B117" s="263"/>
      <c r="C117" s="1217" t="s">
        <v>765</v>
      </c>
      <c r="D117" s="1217"/>
      <c r="E117" s="1217"/>
      <c r="F117" s="1217"/>
      <c r="G117" s="1088"/>
      <c r="H117" s="1088"/>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2"/>
      <c r="B118" s="263"/>
      <c r="C118" s="1088"/>
      <c r="D118" s="1088"/>
      <c r="E118" s="1088"/>
      <c r="F118" s="1088"/>
      <c r="G118" s="159"/>
      <c r="H118" s="159"/>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4">
        <f>+'EXHIBIT A'!E40</f>
        <v>667586</v>
      </c>
      <c r="D119" s="1067" t="s">
        <v>766</v>
      </c>
      <c r="E119" s="1067"/>
      <c r="F119" s="1067"/>
      <c r="G119" s="159"/>
      <c r="H119" s="159"/>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5"/>
      <c r="B120" s="265"/>
      <c r="C120" s="264">
        <f>'EXHIBIT D'!G271-'EXHIBIT D'!G257-'EXHIBIT D'!G269</f>
        <v>667586</v>
      </c>
      <c r="D120" s="1072" t="s">
        <v>767</v>
      </c>
      <c r="E120" s="1072"/>
      <c r="F120" s="1072"/>
      <c r="G120" s="159"/>
      <c r="H120" s="159"/>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6"/>
      <c r="B121" s="266"/>
      <c r="C121" s="267">
        <f>C119-C120</f>
        <v>0</v>
      </c>
      <c r="D121" s="1368" t="s">
        <v>646</v>
      </c>
      <c r="E121" s="1368"/>
      <c r="F121" s="1368"/>
      <c r="G121" s="1073"/>
      <c r="H121" s="159"/>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8"/>
      <c r="D122" s="29"/>
      <c r="E122" s="159"/>
      <c r="F122" s="159"/>
      <c r="G122" s="159"/>
      <c r="H122" s="159"/>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8"/>
      <c r="D123" s="159"/>
      <c r="E123" s="159"/>
      <c r="F123" s="159"/>
      <c r="G123" s="159"/>
      <c r="H123" s="159"/>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69" t="s">
        <v>14</v>
      </c>
      <c r="B124" s="168"/>
      <c r="C124" s="1218" t="s">
        <v>734</v>
      </c>
      <c r="D124" s="1218"/>
      <c r="E124" s="1218"/>
      <c r="F124" s="1218"/>
      <c r="G124" s="1069"/>
      <c r="H124" s="1069"/>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6"/>
      <c r="B125" s="266"/>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6"/>
      <c r="B126" s="266"/>
      <c r="C126" s="270">
        <f>'EXHIBIT A'!E14</f>
        <v>4548744.2</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6"/>
      <c r="B127" s="266"/>
      <c r="C127" s="271">
        <f>'EXHIBIT A'!E36</f>
        <v>4573744.2</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6"/>
      <c r="B128" s="266"/>
      <c r="C128" s="272">
        <f>C126-C127</f>
        <v>-25000</v>
      </c>
      <c r="D128" s="1074" t="s">
        <v>606</v>
      </c>
      <c r="E128" s="1074"/>
      <c r="F128" s="1074"/>
      <c r="G128" s="1074"/>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6"/>
      <c r="B129" s="266"/>
      <c r="C129" s="270"/>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6"/>
      <c r="B130" s="266"/>
      <c r="C130" s="273">
        <f>'EXHIBIT D'!G185</f>
        <v>25000</v>
      </c>
      <c r="D130" s="261" t="s">
        <v>543</v>
      </c>
      <c r="E130" s="161"/>
      <c r="F130" s="161"/>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4">
        <f>C128+C130</f>
        <v>0</v>
      </c>
      <c r="D132" s="1369" t="s">
        <v>733</v>
      </c>
      <c r="E132" s="1369"/>
      <c r="F132" s="1369"/>
      <c r="G132" s="1071"/>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5"/>
      <c r="D133" s="276"/>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3"/>
      <c r="V134" s="163"/>
      <c r="W134" s="163"/>
      <c r="X134" s="163"/>
      <c r="Y134" s="163"/>
      <c r="Z134" s="163"/>
      <c r="AA134" s="163"/>
      <c r="AB134" s="163"/>
      <c r="AC134" s="163"/>
      <c r="AD134" s="163"/>
      <c r="AE134" s="163"/>
      <c r="AF134" s="163"/>
      <c r="AG134" s="163"/>
    </row>
    <row r="135" spans="1:53" ht="39" customHeight="1">
      <c r="A135" s="277" t="s">
        <v>500</v>
      </c>
      <c r="B135" s="1075"/>
      <c r="C135" s="1219" t="s">
        <v>593</v>
      </c>
      <c r="D135" s="1219"/>
      <c r="E135" s="1219"/>
      <c r="F135" s="1219"/>
      <c r="G135" s="1080"/>
      <c r="H135" s="1080"/>
      <c r="U135" s="163"/>
      <c r="V135" s="163"/>
      <c r="W135" s="163"/>
      <c r="X135" s="163"/>
      <c r="Y135" s="163"/>
      <c r="Z135" s="163"/>
      <c r="AA135" s="163"/>
      <c r="AB135" s="163"/>
      <c r="AC135" s="163"/>
      <c r="AD135" s="163"/>
      <c r="AE135" s="163"/>
      <c r="AF135" s="163"/>
      <c r="AG135" s="163"/>
    </row>
    <row r="136" spans="1:53" ht="19.899999999999999" customHeight="1">
      <c r="A136" s="29"/>
      <c r="B136" s="29"/>
      <c r="C136" s="29"/>
      <c r="D136" s="29"/>
      <c r="U136" s="163"/>
      <c r="V136" s="163"/>
      <c r="W136" s="163"/>
      <c r="X136" s="163"/>
      <c r="Y136" s="163"/>
      <c r="Z136" s="163"/>
      <c r="AA136" s="163"/>
      <c r="AB136" s="163"/>
      <c r="AC136" s="163"/>
      <c r="AD136" s="163"/>
      <c r="AE136" s="163"/>
      <c r="AF136" s="163"/>
      <c r="AG136" s="163"/>
    </row>
    <row r="137" spans="1:53" ht="19.899999999999999" customHeight="1">
      <c r="A137" s="29"/>
      <c r="C137" s="278">
        <f>IF('EXHIBIT G'!D124=0,"No Credit Hours or Not Applicable",('EXHIBIT G'!D124/'EXHIBIT C'!F10))</f>
        <v>91.78958333333334</v>
      </c>
      <c r="D137" s="29" t="s">
        <v>252</v>
      </c>
      <c r="U137" s="163"/>
      <c r="V137" s="163"/>
      <c r="W137" s="163"/>
      <c r="X137" s="163"/>
      <c r="Y137" s="163"/>
      <c r="Z137" s="163"/>
      <c r="AA137" s="163"/>
      <c r="AB137" s="163"/>
      <c r="AC137" s="163"/>
      <c r="AD137" s="163"/>
      <c r="AE137" s="163"/>
      <c r="AF137" s="163"/>
      <c r="AG137" s="163"/>
    </row>
    <row r="138" spans="1:53" ht="19.899999999999999" customHeight="1">
      <c r="A138" s="29"/>
      <c r="C138" s="279"/>
      <c r="D138" s="29"/>
      <c r="F138" s="33"/>
      <c r="G138" s="33"/>
      <c r="H138" s="33"/>
      <c r="U138" s="163"/>
      <c r="V138" s="163"/>
      <c r="W138" s="163"/>
      <c r="X138" s="163"/>
      <c r="Y138" s="163"/>
      <c r="Z138" s="163"/>
      <c r="AA138" s="163"/>
      <c r="AB138" s="163"/>
      <c r="AC138" s="163"/>
      <c r="AD138" s="163"/>
      <c r="AE138" s="163"/>
      <c r="AF138" s="163"/>
      <c r="AG138" s="163"/>
    </row>
    <row r="139" spans="1:53" ht="19.899999999999999" customHeight="1">
      <c r="A139" s="29"/>
      <c r="C139" s="280" t="str">
        <f>IF('EXHIBIT G'!D125=0,"No Credit Hours or Not Applicable",('EXHIBIT G'!D125/'EXHIBIT C'!D19))</f>
        <v>No Credit Hours or Not Applicable</v>
      </c>
      <c r="D139" s="29" t="s">
        <v>404</v>
      </c>
      <c r="F139" s="48"/>
      <c r="G139" s="48"/>
      <c r="H139" s="48"/>
      <c r="U139" s="163"/>
      <c r="V139" s="163"/>
      <c r="W139" s="163"/>
      <c r="X139" s="163"/>
      <c r="Y139" s="163"/>
      <c r="Z139" s="163"/>
      <c r="AA139" s="163"/>
      <c r="AB139" s="163"/>
      <c r="AC139" s="163"/>
      <c r="AD139" s="163"/>
      <c r="AE139" s="163"/>
      <c r="AF139" s="163"/>
      <c r="AG139" s="163"/>
    </row>
    <row r="140" spans="1:53" ht="19.899999999999999" customHeight="1">
      <c r="A140" s="29"/>
      <c r="C140" s="281"/>
      <c r="D140" s="29"/>
      <c r="F140" s="48"/>
      <c r="G140" s="48"/>
      <c r="H140" s="48"/>
      <c r="U140" s="163"/>
      <c r="V140" s="163"/>
      <c r="W140" s="163"/>
      <c r="X140" s="163"/>
      <c r="Y140" s="163"/>
      <c r="Z140" s="163"/>
      <c r="AA140" s="163"/>
      <c r="AB140" s="163"/>
      <c r="AC140" s="163"/>
      <c r="AD140" s="163"/>
      <c r="AE140" s="163"/>
      <c r="AF140" s="163"/>
      <c r="AG140" s="163"/>
    </row>
    <row r="141" spans="1:53" s="29" customFormat="1" ht="19.899999999999999" customHeight="1">
      <c r="C141" s="1102"/>
      <c r="D141" s="1103"/>
      <c r="E141" s="1103"/>
    </row>
    <row r="142" spans="1:53" s="29" customFormat="1" ht="19.899999999999999" customHeight="1">
      <c r="A142" s="1075" t="s">
        <v>501</v>
      </c>
      <c r="B142" s="1075"/>
      <c r="C142" s="1075" t="s">
        <v>594</v>
      </c>
    </row>
    <row r="143" spans="1:53" ht="19.899999999999999" customHeight="1">
      <c r="A143" s="29"/>
      <c r="C143" s="29"/>
      <c r="D143" s="29"/>
      <c r="U143" s="163"/>
      <c r="V143" s="163"/>
      <c r="W143" s="163"/>
      <c r="X143" s="163"/>
      <c r="Y143" s="163"/>
      <c r="Z143" s="163"/>
      <c r="AA143" s="163"/>
      <c r="AB143" s="163"/>
      <c r="AC143" s="163"/>
      <c r="AD143" s="163"/>
      <c r="AE143" s="163"/>
      <c r="AF143" s="163"/>
      <c r="AG143" s="163"/>
    </row>
    <row r="144" spans="1:53" ht="42.6" customHeight="1">
      <c r="A144" s="29"/>
      <c r="C144" s="282" t="str">
        <f>IF(+'EXHIBIT G'!D124='EXHIBIT C'!H10,"Equal","Not Equal")</f>
        <v>Equal</v>
      </c>
      <c r="D144" s="1370" t="s">
        <v>716</v>
      </c>
      <c r="E144" s="1370"/>
      <c r="F144" s="1370"/>
      <c r="G144" s="283"/>
      <c r="U144" s="163"/>
      <c r="V144" s="163"/>
      <c r="W144" s="163"/>
      <c r="X144" s="163"/>
      <c r="Y144" s="163"/>
      <c r="Z144" s="163"/>
      <c r="AA144" s="163"/>
      <c r="AB144" s="163"/>
      <c r="AC144" s="163"/>
      <c r="AD144" s="163"/>
      <c r="AE144" s="163"/>
      <c r="AF144" s="163"/>
      <c r="AG144" s="163"/>
    </row>
    <row r="145" spans="1:33" ht="19.899999999999999" customHeight="1">
      <c r="A145" s="29"/>
      <c r="C145" s="279"/>
      <c r="D145" s="283"/>
      <c r="E145" s="283"/>
      <c r="F145" s="283"/>
      <c r="G145" s="283"/>
      <c r="U145" s="163"/>
      <c r="V145" s="163"/>
      <c r="W145" s="163"/>
      <c r="X145" s="163"/>
      <c r="Y145" s="163"/>
      <c r="Z145" s="163"/>
      <c r="AA145" s="163"/>
      <c r="AB145" s="163"/>
      <c r="AC145" s="163"/>
      <c r="AD145" s="163"/>
      <c r="AE145" s="163"/>
      <c r="AF145" s="163"/>
      <c r="AG145" s="163"/>
    </row>
    <row r="146" spans="1:33" ht="19.899999999999999" customHeight="1">
      <c r="A146" s="29"/>
      <c r="C146" s="29"/>
      <c r="D146" s="29"/>
      <c r="U146" s="163"/>
      <c r="V146" s="163"/>
      <c r="W146" s="163"/>
      <c r="X146" s="163"/>
      <c r="Y146" s="163"/>
      <c r="Z146" s="163"/>
      <c r="AA146" s="163"/>
      <c r="AB146" s="163"/>
      <c r="AC146" s="163"/>
      <c r="AD146" s="163"/>
      <c r="AE146" s="163"/>
      <c r="AF146" s="163"/>
      <c r="AG146" s="163"/>
    </row>
    <row r="147" spans="1:33" ht="58.15" customHeight="1">
      <c r="A147" s="29"/>
      <c r="C147" s="282" t="str">
        <f>IF(+'EXHIBIT G'!D125='EXHIBIT C'!F19,"Equal","Not Equal")</f>
        <v>Equal</v>
      </c>
      <c r="D147" s="1370" t="s">
        <v>717</v>
      </c>
      <c r="E147" s="1370"/>
      <c r="F147" s="1370"/>
      <c r="G147" s="283"/>
      <c r="U147" s="163"/>
      <c r="V147" s="163"/>
      <c r="W147" s="163"/>
      <c r="X147" s="163"/>
      <c r="Y147" s="163"/>
      <c r="Z147" s="163"/>
      <c r="AA147" s="163"/>
      <c r="AB147" s="163"/>
      <c r="AC147" s="163"/>
      <c r="AD147" s="163"/>
      <c r="AE147" s="163"/>
      <c r="AF147" s="163"/>
      <c r="AG147" s="163"/>
    </row>
    <row r="148" spans="1:33" ht="19.899999999999999" customHeight="1">
      <c r="A148" s="29"/>
      <c r="C148" s="279"/>
      <c r="D148" s="283"/>
      <c r="E148" s="283"/>
      <c r="F148" s="283"/>
      <c r="G148" s="283"/>
      <c r="U148" s="163"/>
      <c r="V148" s="163"/>
      <c r="W148" s="163"/>
      <c r="X148" s="163"/>
      <c r="Y148" s="163"/>
      <c r="Z148" s="163"/>
      <c r="AA148" s="163"/>
      <c r="AB148" s="163"/>
      <c r="AC148" s="163"/>
      <c r="AD148" s="163"/>
      <c r="AE148" s="163"/>
      <c r="AF148" s="163"/>
      <c r="AG148" s="163"/>
    </row>
    <row r="149" spans="1:33" ht="19.899999999999999" customHeight="1">
      <c r="A149" s="29"/>
      <c r="C149" s="279"/>
      <c r="D149" s="1101"/>
      <c r="E149" s="1101"/>
      <c r="F149" s="1101"/>
      <c r="G149" s="1101"/>
      <c r="U149" s="163"/>
      <c r="V149" s="163"/>
      <c r="W149" s="163"/>
      <c r="X149" s="163"/>
      <c r="Y149" s="163"/>
      <c r="Z149" s="163"/>
      <c r="AA149" s="163"/>
      <c r="AB149" s="163"/>
      <c r="AC149" s="163"/>
      <c r="AD149" s="163"/>
      <c r="AE149" s="163"/>
      <c r="AF149" s="163"/>
      <c r="AG149" s="163"/>
    </row>
    <row r="150" spans="1:33" ht="19.899999999999999" customHeight="1">
      <c r="A150" s="29"/>
      <c r="C150" s="284"/>
      <c r="D150" s="1101"/>
      <c r="E150" s="1101"/>
      <c r="F150" s="1101"/>
      <c r="G150" s="1101"/>
      <c r="U150" s="163"/>
      <c r="V150" s="163"/>
      <c r="W150" s="163"/>
      <c r="X150" s="163"/>
      <c r="Y150" s="163"/>
      <c r="Z150" s="163"/>
      <c r="AA150" s="163"/>
      <c r="AB150" s="163"/>
      <c r="AC150" s="163"/>
      <c r="AD150" s="163"/>
      <c r="AE150" s="163"/>
      <c r="AF150" s="163"/>
      <c r="AG150" s="163"/>
    </row>
    <row r="151" spans="1:33" ht="61.9" customHeight="1">
      <c r="A151" s="277" t="s">
        <v>502</v>
      </c>
      <c r="B151" s="1075"/>
      <c r="C151" s="1219" t="s">
        <v>738</v>
      </c>
      <c r="D151" s="1219"/>
      <c r="E151" s="1219"/>
      <c r="F151" s="1219"/>
      <c r="G151" s="1219"/>
      <c r="H151" s="1080"/>
      <c r="U151" s="163"/>
      <c r="V151" s="163"/>
      <c r="W151" s="163"/>
      <c r="X151" s="163"/>
      <c r="Y151" s="163"/>
      <c r="Z151" s="163"/>
      <c r="AA151" s="163"/>
      <c r="AB151" s="163"/>
      <c r="AC151" s="163"/>
      <c r="AD151" s="163"/>
      <c r="AE151" s="163"/>
      <c r="AF151" s="163"/>
      <c r="AG151" s="163"/>
    </row>
    <row r="152" spans="1:33" ht="19.899999999999999" customHeight="1">
      <c r="A152" s="29"/>
      <c r="C152" s="29"/>
      <c r="D152" s="29"/>
      <c r="U152" s="163"/>
      <c r="V152" s="163"/>
      <c r="W152" s="163"/>
      <c r="X152" s="163"/>
      <c r="Y152" s="163"/>
      <c r="Z152" s="163"/>
      <c r="AA152" s="163"/>
      <c r="AB152" s="163"/>
      <c r="AC152" s="163"/>
      <c r="AD152" s="163"/>
      <c r="AE152" s="163"/>
      <c r="AF152" s="163"/>
      <c r="AG152" s="163"/>
    </row>
    <row r="153" spans="1:33" ht="19.899999999999999" customHeight="1">
      <c r="A153" s="29"/>
      <c r="C153" s="282" t="str">
        <f>IF(+'EXHIBIT G'!F119='EXHIBIT G'!F135,"Equal","Not Equal")</f>
        <v>Not Equal</v>
      </c>
      <c r="D153" s="1068" t="s">
        <v>607</v>
      </c>
      <c r="E153" s="1068"/>
      <c r="F153" s="1068"/>
      <c r="U153" s="163"/>
      <c r="V153" s="163"/>
      <c r="W153" s="163"/>
      <c r="X153" s="163"/>
      <c r="Y153" s="163"/>
      <c r="Z153" s="163"/>
      <c r="AA153" s="163"/>
      <c r="AB153" s="163"/>
      <c r="AC153" s="163"/>
      <c r="AD153" s="163"/>
      <c r="AE153" s="163"/>
      <c r="AF153" s="163"/>
      <c r="AG153" s="163"/>
    </row>
    <row r="154" spans="1:33" ht="19.899999999999999" customHeight="1" thickBot="1">
      <c r="A154" s="29"/>
      <c r="C154" s="284"/>
      <c r="D154" s="29"/>
      <c r="H154" s="212"/>
      <c r="U154" s="163"/>
      <c r="V154" s="163"/>
      <c r="W154" s="163"/>
      <c r="X154" s="163"/>
      <c r="Y154" s="163"/>
      <c r="Z154" s="163"/>
      <c r="AA154" s="163"/>
      <c r="AB154" s="163"/>
      <c r="AC154" s="163"/>
      <c r="AD154" s="163"/>
      <c r="AE154" s="163"/>
      <c r="AF154" s="163"/>
      <c r="AG154" s="163"/>
    </row>
    <row r="155" spans="1:33" ht="24.6" customHeight="1" thickBot="1">
      <c r="A155" s="29"/>
      <c r="C155" s="1084" t="s">
        <v>705</v>
      </c>
      <c r="D155" s="1085"/>
      <c r="E155" s="1085"/>
      <c r="F155" s="1085"/>
      <c r="G155" s="1086"/>
      <c r="H155" s="52"/>
      <c r="U155" s="163"/>
      <c r="V155" s="163"/>
      <c r="W155" s="163"/>
      <c r="X155" s="163"/>
      <c r="Y155" s="163"/>
      <c r="Z155" s="163"/>
      <c r="AA155" s="163"/>
      <c r="AB155" s="163"/>
      <c r="AC155" s="163"/>
      <c r="AD155" s="163"/>
      <c r="AE155" s="163"/>
      <c r="AF155" s="163"/>
      <c r="AG155" s="163"/>
    </row>
    <row r="156" spans="1:33" ht="19.899999999999999" customHeight="1">
      <c r="A156" s="29"/>
      <c r="C156" s="1371" t="s">
        <v>790</v>
      </c>
      <c r="D156" s="1372"/>
      <c r="E156" s="1372"/>
      <c r="F156" s="1372"/>
      <c r="G156" s="1373"/>
      <c r="H156" s="285"/>
      <c r="U156" s="163"/>
      <c r="V156" s="163"/>
      <c r="W156" s="163"/>
      <c r="X156" s="163"/>
      <c r="Y156" s="163"/>
      <c r="Z156" s="163"/>
      <c r="AA156" s="163"/>
      <c r="AB156" s="163"/>
      <c r="AC156" s="163"/>
      <c r="AD156" s="163"/>
      <c r="AE156" s="163"/>
      <c r="AF156" s="163"/>
      <c r="AG156" s="163"/>
    </row>
    <row r="157" spans="1:33" ht="19.899999999999999" customHeight="1">
      <c r="A157" s="29"/>
      <c r="C157" s="1095"/>
      <c r="D157" s="1096"/>
      <c r="E157" s="1096"/>
      <c r="F157" s="1096"/>
      <c r="G157" s="1097"/>
      <c r="H157" s="285"/>
      <c r="U157" s="163"/>
      <c r="V157" s="163"/>
      <c r="W157" s="163"/>
      <c r="X157" s="163"/>
      <c r="Y157" s="163"/>
      <c r="Z157" s="163"/>
      <c r="AA157" s="163"/>
      <c r="AB157" s="163"/>
      <c r="AC157" s="163"/>
      <c r="AD157" s="163"/>
      <c r="AE157" s="163"/>
      <c r="AF157" s="163"/>
      <c r="AG157" s="163"/>
    </row>
    <row r="158" spans="1:33" ht="19.899999999999999" customHeight="1">
      <c r="A158" s="29"/>
      <c r="C158" s="1095"/>
      <c r="D158" s="1096"/>
      <c r="E158" s="1096"/>
      <c r="F158" s="1096"/>
      <c r="G158" s="1097"/>
      <c r="H158" s="285"/>
      <c r="U158" s="163"/>
      <c r="V158" s="163"/>
      <c r="W158" s="163"/>
      <c r="X158" s="163"/>
      <c r="Y158" s="163"/>
      <c r="Z158" s="163"/>
      <c r="AA158" s="163"/>
      <c r="AB158" s="163"/>
      <c r="AC158" s="163"/>
      <c r="AD158" s="163"/>
      <c r="AE158" s="163"/>
      <c r="AF158" s="163"/>
      <c r="AG158" s="163"/>
    </row>
    <row r="159" spans="1:33" ht="19.899999999999999" customHeight="1">
      <c r="A159" s="29"/>
      <c r="C159" s="1095"/>
      <c r="D159" s="1096"/>
      <c r="E159" s="1096"/>
      <c r="F159" s="1096"/>
      <c r="G159" s="1097"/>
      <c r="H159" s="285"/>
      <c r="U159" s="163"/>
      <c r="V159" s="163"/>
      <c r="W159" s="163"/>
      <c r="X159" s="163"/>
      <c r="Y159" s="163"/>
      <c r="Z159" s="163"/>
      <c r="AA159" s="163"/>
      <c r="AB159" s="163"/>
      <c r="AC159" s="163"/>
      <c r="AD159" s="163"/>
      <c r="AE159" s="163"/>
      <c r="AF159" s="163"/>
      <c r="AG159" s="163"/>
    </row>
    <row r="160" spans="1:33" ht="19.899999999999999" customHeight="1">
      <c r="A160" s="29"/>
      <c r="C160" s="1095"/>
      <c r="D160" s="1096"/>
      <c r="E160" s="1096"/>
      <c r="F160" s="1096"/>
      <c r="G160" s="1097"/>
      <c r="H160" s="285"/>
      <c r="U160" s="163"/>
      <c r="V160" s="163"/>
      <c r="W160" s="163"/>
      <c r="X160" s="163"/>
      <c r="Y160" s="163"/>
      <c r="Z160" s="163"/>
      <c r="AA160" s="163"/>
      <c r="AB160" s="163"/>
      <c r="AC160" s="163"/>
      <c r="AD160" s="163"/>
      <c r="AE160" s="163"/>
      <c r="AF160" s="163"/>
      <c r="AG160" s="163"/>
    </row>
    <row r="161" spans="1:33" ht="19.899999999999999" customHeight="1">
      <c r="A161" s="29"/>
      <c r="C161" s="1095"/>
      <c r="D161" s="1096"/>
      <c r="E161" s="1096"/>
      <c r="F161" s="1096"/>
      <c r="G161" s="1097"/>
      <c r="H161" s="285"/>
      <c r="U161" s="163"/>
      <c r="V161" s="163"/>
      <c r="W161" s="163"/>
      <c r="X161" s="163"/>
      <c r="Y161" s="163"/>
      <c r="Z161" s="163"/>
      <c r="AA161" s="163"/>
      <c r="AB161" s="163"/>
      <c r="AC161" s="163"/>
      <c r="AD161" s="163"/>
      <c r="AE161" s="163"/>
      <c r="AF161" s="163"/>
      <c r="AG161" s="163"/>
    </row>
    <row r="162" spans="1:33" ht="19.899999999999999" customHeight="1">
      <c r="A162" s="29"/>
      <c r="C162" s="1095"/>
      <c r="D162" s="1096"/>
      <c r="E162" s="1096"/>
      <c r="F162" s="1096"/>
      <c r="G162" s="1097"/>
      <c r="H162" s="285"/>
      <c r="U162" s="163"/>
      <c r="V162" s="163"/>
      <c r="W162" s="163"/>
      <c r="X162" s="163"/>
      <c r="Y162" s="163"/>
      <c r="Z162" s="163"/>
      <c r="AA162" s="163"/>
      <c r="AB162" s="163"/>
      <c r="AC162" s="163"/>
      <c r="AD162" s="163"/>
      <c r="AE162" s="163"/>
      <c r="AF162" s="163"/>
      <c r="AG162" s="163"/>
    </row>
    <row r="163" spans="1:33" ht="19.899999999999999" customHeight="1">
      <c r="A163" s="29"/>
      <c r="C163" s="1095"/>
      <c r="D163" s="1096"/>
      <c r="E163" s="1096"/>
      <c r="F163" s="1096"/>
      <c r="G163" s="1097"/>
      <c r="H163" s="285"/>
      <c r="U163" s="163"/>
      <c r="V163" s="163"/>
      <c r="W163" s="163"/>
      <c r="X163" s="163"/>
      <c r="Y163" s="163"/>
      <c r="Z163" s="163"/>
      <c r="AA163" s="163"/>
      <c r="AB163" s="163"/>
      <c r="AC163" s="163"/>
      <c r="AD163" s="163"/>
      <c r="AE163" s="163"/>
      <c r="AF163" s="163"/>
      <c r="AG163" s="163"/>
    </row>
    <row r="164" spans="1:33" ht="19.899999999999999" customHeight="1">
      <c r="A164" s="29"/>
      <c r="C164" s="1095"/>
      <c r="D164" s="1096"/>
      <c r="E164" s="1096"/>
      <c r="F164" s="1096"/>
      <c r="G164" s="1097"/>
      <c r="H164" s="285"/>
      <c r="U164" s="163"/>
      <c r="V164" s="163"/>
      <c r="W164" s="163"/>
      <c r="X164" s="163"/>
      <c r="Y164" s="163"/>
      <c r="Z164" s="163"/>
      <c r="AA164" s="163"/>
      <c r="AB164" s="163"/>
      <c r="AC164" s="163"/>
      <c r="AD164" s="163"/>
      <c r="AE164" s="163"/>
      <c r="AF164" s="163"/>
      <c r="AG164" s="163"/>
    </row>
    <row r="165" spans="1:33" ht="19.899999999999999" customHeight="1" thickBot="1">
      <c r="A165" s="29"/>
      <c r="C165" s="1098"/>
      <c r="D165" s="1099"/>
      <c r="E165" s="1099"/>
      <c r="F165" s="1099"/>
      <c r="G165" s="1100"/>
      <c r="H165" s="285"/>
      <c r="U165" s="163"/>
      <c r="V165" s="163"/>
      <c r="W165" s="163"/>
      <c r="X165" s="163"/>
      <c r="Y165" s="163"/>
      <c r="Z165" s="163"/>
      <c r="AA165" s="163"/>
      <c r="AB165" s="163"/>
      <c r="AC165" s="163"/>
      <c r="AD165" s="163"/>
      <c r="AE165" s="163"/>
      <c r="AF165" s="163"/>
      <c r="AG165" s="163"/>
    </row>
    <row r="166" spans="1:33" ht="19.899999999999999" customHeight="1">
      <c r="H166" s="212"/>
      <c r="U166" s="163"/>
      <c r="V166" s="163"/>
      <c r="W166" s="163"/>
      <c r="X166" s="163"/>
      <c r="Y166" s="163"/>
      <c r="Z166" s="163"/>
      <c r="AA166" s="163"/>
      <c r="AB166" s="163"/>
      <c r="AC166" s="163"/>
      <c r="AD166" s="163"/>
      <c r="AE166" s="163"/>
      <c r="AF166" s="163"/>
      <c r="AG166" s="163"/>
    </row>
    <row r="167" spans="1:33" ht="19.899999999999999" customHeight="1">
      <c r="H167" s="212"/>
      <c r="U167" s="163"/>
      <c r="V167" s="163"/>
      <c r="W167" s="163"/>
      <c r="X167" s="163"/>
      <c r="Y167" s="163"/>
      <c r="Z167" s="163"/>
      <c r="AA167" s="163"/>
      <c r="AB167" s="163"/>
      <c r="AC167" s="163"/>
      <c r="AD167" s="163"/>
      <c r="AE167" s="163"/>
      <c r="AF167" s="163"/>
      <c r="AG167" s="163"/>
    </row>
    <row r="168" spans="1:33" ht="19.899999999999999" customHeight="1">
      <c r="U168" s="163"/>
      <c r="V168" s="163"/>
      <c r="W168" s="163"/>
      <c r="X168" s="163"/>
      <c r="Y168" s="163"/>
      <c r="Z168" s="163"/>
      <c r="AA168" s="163"/>
      <c r="AB168" s="163"/>
      <c r="AC168" s="163"/>
      <c r="AD168" s="163"/>
      <c r="AE168" s="163"/>
      <c r="AF168" s="163"/>
      <c r="AG168" s="163"/>
    </row>
    <row r="169" spans="1:33" ht="19.899999999999999" customHeight="1">
      <c r="U169" s="163"/>
      <c r="V169" s="163"/>
      <c r="W169" s="163"/>
      <c r="X169" s="163"/>
      <c r="Y169" s="163"/>
      <c r="Z169" s="163"/>
      <c r="AA169" s="163"/>
      <c r="AB169" s="163"/>
      <c r="AC169" s="163"/>
      <c r="AD169" s="163"/>
      <c r="AE169" s="163"/>
      <c r="AF169" s="163"/>
      <c r="AG169" s="163"/>
    </row>
    <row r="170" spans="1:33" ht="19.899999999999999" customHeight="1">
      <c r="U170" s="163"/>
      <c r="V170" s="163"/>
      <c r="W170" s="163"/>
      <c r="X170" s="163"/>
      <c r="Y170" s="163"/>
      <c r="Z170" s="163"/>
      <c r="AA170" s="163"/>
      <c r="AB170" s="163"/>
      <c r="AC170" s="163"/>
      <c r="AD170" s="163"/>
      <c r="AE170" s="163"/>
      <c r="AF170" s="163"/>
      <c r="AG170" s="163"/>
    </row>
    <row r="171" spans="1:33" ht="19.899999999999999" customHeight="1">
      <c r="U171" s="163"/>
      <c r="V171" s="163"/>
      <c r="W171" s="163"/>
      <c r="X171" s="163"/>
      <c r="Y171" s="163"/>
      <c r="Z171" s="163"/>
      <c r="AA171" s="163"/>
      <c r="AB171" s="163"/>
      <c r="AC171" s="163"/>
      <c r="AD171" s="163"/>
      <c r="AE171" s="163"/>
      <c r="AF171" s="163"/>
      <c r="AG171" s="163"/>
    </row>
    <row r="172" spans="1:33" ht="19.899999999999999" customHeight="1">
      <c r="U172" s="163"/>
      <c r="V172" s="163"/>
      <c r="W172" s="163"/>
      <c r="X172" s="163"/>
      <c r="Y172" s="163"/>
      <c r="Z172" s="163"/>
      <c r="AA172" s="163"/>
      <c r="AB172" s="163"/>
      <c r="AC172" s="163"/>
      <c r="AD172" s="163"/>
      <c r="AE172" s="163"/>
      <c r="AF172" s="163"/>
      <c r="AG172" s="163"/>
    </row>
    <row r="173" spans="1:33" ht="19.899999999999999" customHeight="1">
      <c r="U173" s="163"/>
      <c r="V173" s="163"/>
      <c r="W173" s="163"/>
      <c r="X173" s="163"/>
      <c r="Y173" s="163"/>
      <c r="Z173" s="163"/>
      <c r="AA173" s="163"/>
      <c r="AB173" s="163"/>
      <c r="AC173" s="163"/>
      <c r="AD173" s="163"/>
      <c r="AE173" s="163"/>
      <c r="AF173" s="163"/>
      <c r="AG173" s="163"/>
    </row>
    <row r="174" spans="1:33" ht="19.899999999999999" customHeight="1">
      <c r="U174" s="163"/>
      <c r="V174" s="163"/>
      <c r="W174" s="163"/>
      <c r="X174" s="163"/>
      <c r="Y174" s="163"/>
      <c r="Z174" s="163"/>
      <c r="AA174" s="163"/>
      <c r="AB174" s="163"/>
      <c r="AC174" s="163"/>
      <c r="AD174" s="163"/>
      <c r="AE174" s="163"/>
      <c r="AF174" s="163"/>
      <c r="AG174" s="163"/>
    </row>
    <row r="175" spans="1:33" ht="19.899999999999999" customHeight="1">
      <c r="U175" s="163"/>
      <c r="V175" s="163"/>
      <c r="W175" s="163"/>
      <c r="X175" s="163"/>
      <c r="Y175" s="163"/>
      <c r="Z175" s="163"/>
      <c r="AA175" s="163"/>
      <c r="AB175" s="163"/>
      <c r="AC175" s="163"/>
      <c r="AD175" s="163"/>
      <c r="AE175" s="163"/>
      <c r="AF175" s="163"/>
      <c r="AG175" s="163"/>
    </row>
    <row r="176" spans="1:33" ht="19.899999999999999" customHeight="1">
      <c r="U176" s="163"/>
      <c r="V176" s="163"/>
      <c r="W176" s="163"/>
      <c r="X176" s="163"/>
      <c r="Y176" s="163"/>
      <c r="Z176" s="163"/>
      <c r="AA176" s="163"/>
      <c r="AB176" s="163"/>
      <c r="AC176" s="163"/>
      <c r="AD176" s="163"/>
      <c r="AE176" s="163"/>
      <c r="AF176" s="163"/>
      <c r="AG176" s="163"/>
    </row>
    <row r="177" spans="21:33" ht="19.899999999999999" customHeight="1">
      <c r="U177" s="163"/>
      <c r="V177" s="163"/>
      <c r="W177" s="163"/>
      <c r="X177" s="163"/>
      <c r="Y177" s="163"/>
      <c r="Z177" s="163"/>
      <c r="AA177" s="163"/>
      <c r="AB177" s="163"/>
      <c r="AC177" s="163"/>
      <c r="AD177" s="163"/>
      <c r="AE177" s="163"/>
      <c r="AF177" s="163"/>
      <c r="AG177" s="163"/>
    </row>
    <row r="178" spans="21:33" ht="19.899999999999999" customHeight="1">
      <c r="U178" s="163"/>
      <c r="V178" s="163"/>
      <c r="W178" s="163"/>
      <c r="X178" s="163"/>
      <c r="Y178" s="163"/>
      <c r="Z178" s="163"/>
      <c r="AA178" s="163"/>
      <c r="AB178" s="163"/>
      <c r="AC178" s="163"/>
      <c r="AD178" s="163"/>
      <c r="AE178" s="163"/>
      <c r="AF178" s="163"/>
      <c r="AG178" s="163"/>
    </row>
    <row r="179" spans="21:33" ht="19.899999999999999" customHeight="1">
      <c r="U179" s="163"/>
      <c r="V179" s="163"/>
      <c r="W179" s="163"/>
      <c r="X179" s="163"/>
      <c r="Y179" s="163"/>
      <c r="Z179" s="163"/>
      <c r="AA179" s="163"/>
      <c r="AB179" s="163"/>
      <c r="AC179" s="163"/>
      <c r="AD179" s="163"/>
      <c r="AE179" s="163"/>
      <c r="AF179" s="163"/>
      <c r="AG179" s="163"/>
    </row>
    <row r="180" spans="21:33" ht="19.899999999999999" customHeight="1">
      <c r="U180" s="163"/>
      <c r="V180" s="163"/>
      <c r="W180" s="163"/>
      <c r="X180" s="163"/>
      <c r="Y180" s="163"/>
      <c r="Z180" s="163"/>
      <c r="AA180" s="163"/>
      <c r="AB180" s="163"/>
      <c r="AC180" s="163"/>
      <c r="AD180" s="163"/>
      <c r="AE180" s="163"/>
      <c r="AF180" s="163"/>
      <c r="AG180" s="163"/>
    </row>
    <row r="181" spans="21:33" ht="19.899999999999999" customHeight="1">
      <c r="U181" s="163"/>
      <c r="V181" s="163"/>
      <c r="W181" s="163"/>
      <c r="X181" s="163"/>
      <c r="Y181" s="163"/>
      <c r="Z181" s="163"/>
      <c r="AA181" s="163"/>
      <c r="AB181" s="163"/>
      <c r="AC181" s="163"/>
      <c r="AD181" s="163"/>
      <c r="AE181" s="163"/>
      <c r="AF181" s="163"/>
      <c r="AG181" s="163"/>
    </row>
    <row r="182" spans="21:33" ht="19.899999999999999" customHeight="1">
      <c r="U182" s="163"/>
      <c r="V182" s="163"/>
      <c r="W182" s="163"/>
      <c r="X182" s="163"/>
      <c r="Y182" s="163"/>
      <c r="Z182" s="163"/>
      <c r="AA182" s="163"/>
      <c r="AB182" s="163"/>
      <c r="AC182" s="163"/>
      <c r="AD182" s="163"/>
      <c r="AE182" s="163"/>
      <c r="AF182" s="163"/>
      <c r="AG182" s="163"/>
    </row>
    <row r="183" spans="21:33" ht="19.899999999999999" customHeight="1">
      <c r="U183" s="163"/>
      <c r="V183" s="163"/>
      <c r="W183" s="163"/>
      <c r="X183" s="163"/>
      <c r="Y183" s="163"/>
      <c r="Z183" s="163"/>
      <c r="AA183" s="163"/>
      <c r="AB183" s="163"/>
      <c r="AC183" s="163"/>
      <c r="AD183" s="163"/>
      <c r="AE183" s="163"/>
      <c r="AF183" s="163"/>
      <c r="AG183" s="163"/>
    </row>
    <row r="184" spans="21:33" ht="19.899999999999999" customHeight="1">
      <c r="U184" s="163"/>
      <c r="V184" s="163"/>
      <c r="W184" s="163"/>
      <c r="X184" s="163"/>
      <c r="Y184" s="163"/>
      <c r="Z184" s="163"/>
      <c r="AA184" s="163"/>
      <c r="AB184" s="163"/>
      <c r="AC184" s="163"/>
      <c r="AD184" s="163"/>
      <c r="AE184" s="163"/>
      <c r="AF184" s="163"/>
      <c r="AG184" s="163"/>
    </row>
    <row r="185" spans="21:33" ht="19.899999999999999" customHeight="1">
      <c r="U185" s="163"/>
      <c r="V185" s="163"/>
      <c r="W185" s="163"/>
      <c r="X185" s="163"/>
      <c r="Y185" s="163"/>
      <c r="Z185" s="163"/>
      <c r="AA185" s="163"/>
      <c r="AB185" s="163"/>
      <c r="AC185" s="163"/>
      <c r="AD185" s="163"/>
      <c r="AE185" s="163"/>
      <c r="AF185" s="163"/>
      <c r="AG185" s="163"/>
    </row>
    <row r="186" spans="21:33" ht="19.899999999999999" customHeight="1">
      <c r="U186" s="163"/>
      <c r="V186" s="163"/>
      <c r="W186" s="163"/>
      <c r="X186" s="163"/>
      <c r="Y186" s="163"/>
      <c r="Z186" s="163"/>
      <c r="AA186" s="163"/>
      <c r="AB186" s="163"/>
      <c r="AC186" s="163"/>
      <c r="AD186" s="163"/>
      <c r="AE186" s="163"/>
      <c r="AF186" s="163"/>
      <c r="AG186" s="163"/>
    </row>
    <row r="187" spans="21:33" ht="19.899999999999999" customHeight="1">
      <c r="U187" s="163"/>
      <c r="V187" s="163"/>
      <c r="W187" s="163"/>
      <c r="X187" s="163"/>
      <c r="Y187" s="163"/>
      <c r="Z187" s="163"/>
      <c r="AA187" s="163"/>
      <c r="AB187" s="163"/>
      <c r="AC187" s="163"/>
      <c r="AD187" s="163"/>
      <c r="AE187" s="163"/>
      <c r="AF187" s="163"/>
      <c r="AG187" s="163"/>
    </row>
    <row r="188" spans="21:33" ht="19.899999999999999" customHeight="1">
      <c r="U188" s="163"/>
      <c r="V188" s="163"/>
      <c r="W188" s="163"/>
      <c r="X188" s="163"/>
      <c r="Y188" s="163"/>
      <c r="Z188" s="163"/>
      <c r="AA188" s="163"/>
      <c r="AB188" s="163"/>
      <c r="AC188" s="163"/>
      <c r="AD188" s="163"/>
      <c r="AE188" s="163"/>
      <c r="AF188" s="163"/>
      <c r="AG188" s="163"/>
    </row>
    <row r="189" spans="21:33" ht="19.899999999999999" customHeight="1">
      <c r="U189" s="163"/>
      <c r="V189" s="163"/>
      <c r="W189" s="163"/>
      <c r="X189" s="163"/>
      <c r="Y189" s="163"/>
      <c r="Z189" s="163"/>
      <c r="AA189" s="163"/>
      <c r="AB189" s="163"/>
      <c r="AC189" s="163"/>
      <c r="AD189" s="163"/>
      <c r="AE189" s="163"/>
      <c r="AF189" s="163"/>
      <c r="AG189" s="163"/>
    </row>
    <row r="190" spans="21:33" ht="19.899999999999999" customHeight="1">
      <c r="U190" s="163"/>
      <c r="V190" s="163"/>
      <c r="W190" s="163"/>
      <c r="X190" s="163"/>
      <c r="Y190" s="163"/>
      <c r="Z190" s="163"/>
      <c r="AA190" s="163"/>
      <c r="AB190" s="163"/>
      <c r="AC190" s="163"/>
      <c r="AD190" s="163"/>
      <c r="AE190" s="163"/>
      <c r="AF190" s="163"/>
      <c r="AG190" s="163"/>
    </row>
    <row r="191" spans="21:33" ht="19.899999999999999" customHeight="1">
      <c r="U191" s="163"/>
      <c r="V191" s="163"/>
      <c r="W191" s="163"/>
      <c r="X191" s="163"/>
      <c r="Y191" s="163"/>
      <c r="Z191" s="163"/>
      <c r="AA191" s="163"/>
      <c r="AB191" s="163"/>
      <c r="AC191" s="163"/>
      <c r="AD191" s="163"/>
      <c r="AE191" s="163"/>
      <c r="AF191" s="163"/>
      <c r="AG191" s="163"/>
    </row>
    <row r="192" spans="21:33" ht="19.899999999999999" customHeight="1">
      <c r="U192" s="163"/>
      <c r="V192" s="163"/>
      <c r="W192" s="163"/>
      <c r="X192" s="163"/>
      <c r="Y192" s="163"/>
      <c r="Z192" s="163"/>
      <c r="AA192" s="163"/>
      <c r="AB192" s="163"/>
      <c r="AC192" s="163"/>
      <c r="AD192" s="163"/>
      <c r="AE192" s="163"/>
      <c r="AF192" s="163"/>
      <c r="AG192" s="163"/>
    </row>
    <row r="193" spans="21:33" ht="19.899999999999999" customHeight="1">
      <c r="U193" s="163"/>
      <c r="V193" s="163"/>
      <c r="W193" s="163"/>
      <c r="X193" s="163"/>
      <c r="Y193" s="163"/>
      <c r="Z193" s="163"/>
      <c r="AA193" s="163"/>
      <c r="AB193" s="163"/>
      <c r="AC193" s="163"/>
      <c r="AD193" s="163"/>
      <c r="AE193" s="163"/>
      <c r="AF193" s="163"/>
      <c r="AG193" s="163"/>
    </row>
    <row r="194" spans="21:33" ht="19.899999999999999" customHeight="1">
      <c r="U194" s="163"/>
      <c r="V194" s="163"/>
      <c r="W194" s="163"/>
      <c r="X194" s="163"/>
      <c r="Y194" s="163"/>
      <c r="Z194" s="163"/>
      <c r="AA194" s="163"/>
      <c r="AB194" s="163"/>
      <c r="AC194" s="163"/>
      <c r="AD194" s="163"/>
      <c r="AE194" s="163"/>
      <c r="AF194" s="163"/>
      <c r="AG194" s="163"/>
    </row>
    <row r="195" spans="21:33" ht="19.899999999999999" customHeight="1">
      <c r="U195" s="163"/>
      <c r="V195" s="163"/>
      <c r="W195" s="163"/>
      <c r="X195" s="163"/>
      <c r="Y195" s="163"/>
      <c r="Z195" s="163"/>
      <c r="AA195" s="163"/>
      <c r="AB195" s="163"/>
      <c r="AC195" s="163"/>
      <c r="AD195" s="163"/>
      <c r="AE195" s="163"/>
      <c r="AF195" s="163"/>
      <c r="AG195" s="163"/>
    </row>
    <row r="196" spans="21:33" ht="19.899999999999999" customHeight="1">
      <c r="U196" s="163"/>
      <c r="V196" s="163"/>
      <c r="W196" s="163"/>
      <c r="X196" s="163"/>
      <c r="Y196" s="163"/>
      <c r="Z196" s="163"/>
      <c r="AA196" s="163"/>
      <c r="AB196" s="163"/>
      <c r="AC196" s="163"/>
      <c r="AD196" s="163"/>
      <c r="AE196" s="163"/>
      <c r="AF196" s="163"/>
      <c r="AG196" s="163"/>
    </row>
    <row r="197" spans="21:33" ht="19.899999999999999" customHeight="1">
      <c r="U197" s="163"/>
      <c r="V197" s="163"/>
      <c r="W197" s="163"/>
      <c r="X197" s="163"/>
      <c r="Y197" s="163"/>
      <c r="Z197" s="163"/>
      <c r="AA197" s="163"/>
      <c r="AB197" s="163"/>
      <c r="AC197" s="163"/>
      <c r="AD197" s="163"/>
      <c r="AE197" s="163"/>
      <c r="AF197" s="163"/>
      <c r="AG197" s="163"/>
    </row>
    <row r="198" spans="21:33" ht="19.899999999999999" customHeight="1">
      <c r="U198" s="163"/>
      <c r="V198" s="163"/>
      <c r="W198" s="163"/>
      <c r="X198" s="163"/>
      <c r="Y198" s="163"/>
      <c r="Z198" s="163"/>
      <c r="AA198" s="163"/>
      <c r="AB198" s="163"/>
      <c r="AC198" s="163"/>
      <c r="AD198" s="163"/>
      <c r="AE198" s="163"/>
      <c r="AF198" s="163"/>
      <c r="AG198" s="163"/>
    </row>
    <row r="199" spans="21:33" ht="19.899999999999999" customHeight="1">
      <c r="U199" s="163"/>
      <c r="V199" s="163"/>
      <c r="W199" s="163"/>
      <c r="X199" s="163"/>
      <c r="Y199" s="163"/>
      <c r="Z199" s="163"/>
      <c r="AA199" s="163"/>
      <c r="AB199" s="163"/>
      <c r="AC199" s="163"/>
      <c r="AD199" s="163"/>
      <c r="AE199" s="163"/>
      <c r="AF199" s="163"/>
      <c r="AG199" s="163"/>
    </row>
    <row r="200" spans="21:33" ht="19.899999999999999" customHeight="1">
      <c r="U200" s="163"/>
      <c r="V200" s="163"/>
      <c r="W200" s="163"/>
      <c r="X200" s="163"/>
      <c r="Y200" s="163"/>
      <c r="Z200" s="163"/>
      <c r="AA200" s="163"/>
      <c r="AB200" s="163"/>
      <c r="AC200" s="163"/>
      <c r="AD200" s="163"/>
      <c r="AE200" s="163"/>
      <c r="AF200" s="163"/>
      <c r="AG200" s="163"/>
    </row>
    <row r="201" spans="21:33" ht="19.899999999999999" customHeight="1">
      <c r="U201" s="163"/>
      <c r="V201" s="163"/>
      <c r="W201" s="163"/>
      <c r="X201" s="163"/>
      <c r="Y201" s="163"/>
      <c r="Z201" s="163"/>
      <c r="AA201" s="163"/>
      <c r="AB201" s="163"/>
      <c r="AC201" s="163"/>
      <c r="AD201" s="163"/>
      <c r="AE201" s="163"/>
      <c r="AF201" s="163"/>
      <c r="AG201" s="163"/>
    </row>
    <row r="202" spans="21:33" ht="19.899999999999999" customHeight="1">
      <c r="U202" s="163"/>
      <c r="V202" s="163"/>
      <c r="W202" s="163"/>
      <c r="X202" s="163"/>
      <c r="Y202" s="163"/>
      <c r="Z202" s="163"/>
      <c r="AA202" s="163"/>
      <c r="AB202" s="163"/>
      <c r="AC202" s="163"/>
      <c r="AD202" s="163"/>
      <c r="AE202" s="163"/>
      <c r="AF202" s="163"/>
      <c r="AG202" s="163"/>
    </row>
    <row r="203" spans="21:33" ht="19.899999999999999" customHeight="1">
      <c r="U203" s="163"/>
      <c r="V203" s="163"/>
      <c r="W203" s="163"/>
      <c r="X203" s="163"/>
      <c r="Y203" s="163"/>
      <c r="Z203" s="163"/>
      <c r="AA203" s="163"/>
      <c r="AB203" s="163"/>
      <c r="AC203" s="163"/>
      <c r="AD203" s="163"/>
      <c r="AE203" s="163"/>
      <c r="AF203" s="163"/>
      <c r="AG203" s="163"/>
    </row>
    <row r="204" spans="21:33" ht="19.899999999999999" customHeight="1">
      <c r="U204" s="163"/>
      <c r="V204" s="163"/>
      <c r="W204" s="163"/>
      <c r="X204" s="163"/>
      <c r="Y204" s="163"/>
      <c r="Z204" s="163"/>
      <c r="AA204" s="163"/>
      <c r="AB204" s="163"/>
      <c r="AC204" s="163"/>
      <c r="AD204" s="163"/>
      <c r="AE204" s="163"/>
      <c r="AF204" s="163"/>
      <c r="AG204" s="163"/>
    </row>
    <row r="205" spans="21:33" ht="19.899999999999999" customHeight="1">
      <c r="U205" s="163"/>
      <c r="V205" s="163"/>
      <c r="W205" s="163"/>
      <c r="X205" s="163"/>
      <c r="Y205" s="163"/>
      <c r="Z205" s="163"/>
      <c r="AA205" s="163"/>
      <c r="AB205" s="163"/>
      <c r="AC205" s="163"/>
      <c r="AD205" s="163"/>
      <c r="AE205" s="163"/>
      <c r="AF205" s="163"/>
      <c r="AG205" s="163"/>
    </row>
    <row r="206" spans="21:33" ht="19.899999999999999" customHeight="1">
      <c r="U206" s="163"/>
      <c r="V206" s="163"/>
      <c r="W206" s="163"/>
      <c r="X206" s="163"/>
      <c r="Y206" s="163"/>
      <c r="Z206" s="163"/>
      <c r="AA206" s="163"/>
      <c r="AB206" s="163"/>
      <c r="AC206" s="163"/>
      <c r="AD206" s="163"/>
      <c r="AE206" s="163"/>
      <c r="AF206" s="163"/>
      <c r="AG206" s="163"/>
    </row>
    <row r="207" spans="21:33" ht="19.899999999999999" customHeight="1">
      <c r="U207" s="163"/>
      <c r="V207" s="163"/>
      <c r="W207" s="163"/>
      <c r="X207" s="163"/>
      <c r="Y207" s="163"/>
      <c r="Z207" s="163"/>
      <c r="AA207" s="163"/>
      <c r="AB207" s="163"/>
      <c r="AC207" s="163"/>
      <c r="AD207" s="163"/>
      <c r="AE207" s="163"/>
      <c r="AF207" s="163"/>
      <c r="AG207" s="163"/>
    </row>
    <row r="208" spans="21:33" ht="19.899999999999999" customHeight="1">
      <c r="U208" s="163"/>
      <c r="V208" s="163"/>
      <c r="W208" s="163"/>
      <c r="X208" s="163"/>
      <c r="Y208" s="163"/>
      <c r="Z208" s="163"/>
      <c r="AA208" s="163"/>
      <c r="AB208" s="163"/>
      <c r="AC208" s="163"/>
      <c r="AD208" s="163"/>
      <c r="AE208" s="163"/>
      <c r="AF208" s="163"/>
      <c r="AG208" s="163"/>
    </row>
    <row r="209" spans="21:33" ht="19.899999999999999" customHeight="1">
      <c r="U209" s="163"/>
      <c r="V209" s="163"/>
      <c r="W209" s="163"/>
      <c r="X209" s="163"/>
      <c r="Y209" s="163"/>
      <c r="Z209" s="163"/>
      <c r="AA209" s="163"/>
      <c r="AB209" s="163"/>
      <c r="AC209" s="163"/>
      <c r="AD209" s="163"/>
      <c r="AE209" s="163"/>
      <c r="AF209" s="163"/>
      <c r="AG209" s="163"/>
    </row>
    <row r="210" spans="21:33" ht="19.899999999999999" customHeight="1">
      <c r="U210" s="163"/>
      <c r="V210" s="163"/>
      <c r="W210" s="163"/>
      <c r="X210" s="163"/>
      <c r="Y210" s="163"/>
      <c r="Z210" s="163"/>
      <c r="AA210" s="163"/>
      <c r="AB210" s="163"/>
      <c r="AC210" s="163"/>
      <c r="AD210" s="163"/>
      <c r="AE210" s="163"/>
      <c r="AF210" s="163"/>
      <c r="AG210" s="163"/>
    </row>
    <row r="211" spans="21:33" ht="19.899999999999999" customHeight="1">
      <c r="U211" s="163"/>
      <c r="V211" s="163"/>
      <c r="W211" s="163"/>
      <c r="X211" s="163"/>
      <c r="Y211" s="163"/>
      <c r="Z211" s="163"/>
      <c r="AA211" s="163"/>
      <c r="AB211" s="163"/>
      <c r="AC211" s="163"/>
      <c r="AD211" s="163"/>
      <c r="AE211" s="163"/>
      <c r="AF211" s="163"/>
      <c r="AG211" s="163"/>
    </row>
    <row r="212" spans="21:33" ht="19.899999999999999" customHeight="1">
      <c r="U212" s="163"/>
      <c r="V212" s="163"/>
      <c r="W212" s="163"/>
      <c r="X212" s="163"/>
      <c r="Y212" s="163"/>
      <c r="Z212" s="163"/>
      <c r="AA212" s="163"/>
      <c r="AB212" s="163"/>
      <c r="AC212" s="163"/>
      <c r="AD212" s="163"/>
      <c r="AE212" s="163"/>
      <c r="AF212" s="163"/>
      <c r="AG212" s="163"/>
    </row>
    <row r="213" spans="21:33" ht="19.899999999999999" customHeight="1">
      <c r="U213" s="163"/>
      <c r="V213" s="163"/>
      <c r="W213" s="163"/>
      <c r="X213" s="163"/>
      <c r="Y213" s="163"/>
      <c r="Z213" s="163"/>
      <c r="AA213" s="163"/>
      <c r="AB213" s="163"/>
      <c r="AC213" s="163"/>
      <c r="AD213" s="163"/>
      <c r="AE213" s="163"/>
      <c r="AF213" s="163"/>
      <c r="AG213" s="163"/>
    </row>
    <row r="214" spans="21:33" ht="19.899999999999999" customHeight="1">
      <c r="U214" s="163"/>
      <c r="V214" s="163"/>
      <c r="W214" s="163"/>
      <c r="X214" s="163"/>
      <c r="Y214" s="163"/>
      <c r="Z214" s="163"/>
      <c r="AA214" s="163"/>
      <c r="AB214" s="163"/>
      <c r="AC214" s="163"/>
      <c r="AD214" s="163"/>
      <c r="AE214" s="163"/>
      <c r="AF214" s="163"/>
      <c r="AG214" s="163"/>
    </row>
    <row r="215" spans="21:33" ht="19.899999999999999" customHeight="1">
      <c r="U215" s="163"/>
      <c r="V215" s="163"/>
      <c r="W215" s="163"/>
      <c r="X215" s="163"/>
      <c r="Y215" s="163"/>
      <c r="Z215" s="163"/>
      <c r="AA215" s="163"/>
      <c r="AB215" s="163"/>
      <c r="AC215" s="163"/>
      <c r="AD215" s="163"/>
      <c r="AE215" s="163"/>
      <c r="AF215" s="163"/>
      <c r="AG215" s="163"/>
    </row>
    <row r="216" spans="21:33" ht="19.899999999999999" customHeight="1">
      <c r="U216" s="163"/>
      <c r="V216" s="163"/>
      <c r="W216" s="163"/>
      <c r="X216" s="163"/>
      <c r="Y216" s="163"/>
      <c r="Z216" s="163"/>
      <c r="AA216" s="163"/>
      <c r="AB216" s="163"/>
      <c r="AC216" s="163"/>
      <c r="AD216" s="163"/>
      <c r="AE216" s="163"/>
      <c r="AF216" s="163"/>
      <c r="AG216" s="163"/>
    </row>
    <row r="217" spans="21:33" ht="19.899999999999999" customHeight="1">
      <c r="U217" s="163"/>
      <c r="V217" s="163"/>
      <c r="W217" s="163"/>
      <c r="X217" s="163"/>
      <c r="Y217" s="163"/>
      <c r="Z217" s="163"/>
      <c r="AA217" s="163"/>
      <c r="AB217" s="163"/>
      <c r="AC217" s="163"/>
      <c r="AD217" s="163"/>
      <c r="AE217" s="163"/>
      <c r="AF217" s="163"/>
      <c r="AG217" s="163"/>
    </row>
    <row r="218" spans="21:33" ht="19.899999999999999" customHeight="1">
      <c r="U218" s="163"/>
      <c r="V218" s="163"/>
      <c r="W218" s="163"/>
      <c r="X218" s="163"/>
      <c r="Y218" s="163"/>
      <c r="Z218" s="163"/>
      <c r="AA218" s="163"/>
      <c r="AB218" s="163"/>
      <c r="AC218" s="163"/>
      <c r="AD218" s="163"/>
      <c r="AE218" s="163"/>
      <c r="AF218" s="163"/>
      <c r="AG218" s="163"/>
    </row>
    <row r="219" spans="21:33" ht="19.899999999999999" customHeight="1">
      <c r="U219" s="163"/>
      <c r="V219" s="163"/>
      <c r="W219" s="163"/>
      <c r="X219" s="163"/>
      <c r="Y219" s="163"/>
      <c r="Z219" s="163"/>
      <c r="AA219" s="163"/>
      <c r="AB219" s="163"/>
      <c r="AC219" s="163"/>
      <c r="AD219" s="163"/>
      <c r="AE219" s="163"/>
      <c r="AF219" s="163"/>
      <c r="AG219" s="163"/>
    </row>
    <row r="220" spans="21:33" ht="19.899999999999999" customHeight="1">
      <c r="U220" s="163"/>
      <c r="V220" s="163"/>
      <c r="W220" s="163"/>
      <c r="X220" s="163"/>
      <c r="Y220" s="163"/>
      <c r="Z220" s="163"/>
      <c r="AA220" s="163"/>
      <c r="AB220" s="163"/>
      <c r="AC220" s="163"/>
      <c r="AD220" s="163"/>
      <c r="AE220" s="163"/>
      <c r="AF220" s="163"/>
      <c r="AG220" s="163"/>
    </row>
    <row r="221" spans="21:33" ht="19.899999999999999" customHeight="1">
      <c r="U221" s="163"/>
      <c r="V221" s="163"/>
      <c r="W221" s="163"/>
      <c r="X221" s="163"/>
      <c r="Y221" s="163"/>
      <c r="Z221" s="163"/>
      <c r="AA221" s="163"/>
      <c r="AB221" s="163"/>
      <c r="AC221" s="163"/>
      <c r="AD221" s="163"/>
      <c r="AE221" s="163"/>
      <c r="AF221" s="163"/>
      <c r="AG221" s="163"/>
    </row>
    <row r="222" spans="21:33" ht="19.899999999999999" customHeight="1">
      <c r="U222" s="163"/>
      <c r="V222" s="163"/>
      <c r="W222" s="163"/>
      <c r="X222" s="163"/>
      <c r="Y222" s="163"/>
      <c r="Z222" s="163"/>
      <c r="AA222" s="163"/>
      <c r="AB222" s="163"/>
      <c r="AC222" s="163"/>
      <c r="AD222" s="163"/>
      <c r="AE222" s="163"/>
      <c r="AF222" s="163"/>
      <c r="AG222" s="163"/>
    </row>
    <row r="223" spans="21:33" ht="19.899999999999999" customHeight="1">
      <c r="U223" s="163"/>
      <c r="V223" s="163"/>
      <c r="W223" s="163"/>
      <c r="X223" s="163"/>
      <c r="Y223" s="163"/>
      <c r="Z223" s="163"/>
      <c r="AA223" s="163"/>
      <c r="AB223" s="163"/>
      <c r="AC223" s="163"/>
      <c r="AD223" s="163"/>
      <c r="AE223" s="163"/>
      <c r="AF223" s="163"/>
      <c r="AG223" s="163"/>
    </row>
    <row r="224" spans="21:33" ht="19.899999999999999" customHeight="1">
      <c r="U224" s="163"/>
      <c r="V224" s="163"/>
      <c r="W224" s="163"/>
      <c r="X224" s="163"/>
      <c r="Y224" s="163"/>
      <c r="Z224" s="163"/>
      <c r="AA224" s="163"/>
      <c r="AB224" s="163"/>
      <c r="AC224" s="163"/>
      <c r="AD224" s="163"/>
      <c r="AE224" s="163"/>
      <c r="AF224" s="163"/>
      <c r="AG224" s="163"/>
    </row>
    <row r="225" spans="21:33" ht="19.899999999999999" customHeight="1">
      <c r="U225" s="163"/>
      <c r="V225" s="163"/>
      <c r="W225" s="163"/>
      <c r="X225" s="163"/>
      <c r="Y225" s="163"/>
      <c r="Z225" s="163"/>
      <c r="AA225" s="163"/>
      <c r="AB225" s="163"/>
      <c r="AC225" s="163"/>
      <c r="AD225" s="163"/>
      <c r="AE225" s="163"/>
      <c r="AF225" s="163"/>
      <c r="AG225" s="163"/>
    </row>
    <row r="226" spans="21:33" ht="19.899999999999999" customHeight="1">
      <c r="U226" s="163"/>
      <c r="V226" s="163"/>
      <c r="W226" s="163"/>
      <c r="X226" s="163"/>
      <c r="Y226" s="163"/>
      <c r="Z226" s="163"/>
      <c r="AA226" s="163"/>
      <c r="AB226" s="163"/>
      <c r="AC226" s="163"/>
      <c r="AD226" s="163"/>
      <c r="AE226" s="163"/>
      <c r="AF226" s="163"/>
      <c r="AG226" s="163"/>
    </row>
    <row r="227" spans="21:33" ht="19.899999999999999" customHeight="1">
      <c r="U227" s="163"/>
      <c r="V227" s="163"/>
      <c r="W227" s="163"/>
      <c r="X227" s="163"/>
      <c r="Y227" s="163"/>
      <c r="Z227" s="163"/>
      <c r="AA227" s="163"/>
      <c r="AB227" s="163"/>
      <c r="AC227" s="163"/>
      <c r="AD227" s="163"/>
      <c r="AE227" s="163"/>
      <c r="AF227" s="163"/>
      <c r="AG227" s="163"/>
    </row>
    <row r="228" spans="21:33" ht="19.899999999999999" customHeight="1">
      <c r="U228" s="163"/>
      <c r="V228" s="163"/>
      <c r="W228" s="163"/>
      <c r="X228" s="163"/>
      <c r="Y228" s="163"/>
      <c r="Z228" s="163"/>
      <c r="AA228" s="163"/>
      <c r="AB228" s="163"/>
      <c r="AC228" s="163"/>
      <c r="AD228" s="163"/>
      <c r="AE228" s="163"/>
      <c r="AF228" s="163"/>
      <c r="AG228" s="163"/>
    </row>
    <row r="229" spans="21:33" ht="19.899999999999999" customHeight="1">
      <c r="U229" s="163"/>
      <c r="V229" s="163"/>
      <c r="W229" s="163"/>
      <c r="X229" s="163"/>
      <c r="Y229" s="163"/>
      <c r="Z229" s="163"/>
      <c r="AA229" s="163"/>
      <c r="AB229" s="163"/>
      <c r="AC229" s="163"/>
      <c r="AD229" s="163"/>
      <c r="AE229" s="163"/>
      <c r="AF229" s="163"/>
      <c r="AG229" s="163"/>
    </row>
    <row r="230" spans="21:33" ht="19.899999999999999" customHeight="1">
      <c r="U230" s="163"/>
      <c r="V230" s="163"/>
      <c r="W230" s="163"/>
      <c r="X230" s="163"/>
      <c r="Y230" s="163"/>
      <c r="Z230" s="163"/>
      <c r="AA230" s="163"/>
      <c r="AB230" s="163"/>
      <c r="AC230" s="163"/>
      <c r="AD230" s="163"/>
      <c r="AE230" s="163"/>
      <c r="AF230" s="163"/>
      <c r="AG230" s="163"/>
    </row>
    <row r="231" spans="21:33" ht="19.899999999999999" customHeight="1">
      <c r="U231" s="163"/>
      <c r="V231" s="163"/>
      <c r="W231" s="163"/>
      <c r="X231" s="163"/>
      <c r="Y231" s="163"/>
      <c r="Z231" s="163"/>
      <c r="AA231" s="163"/>
      <c r="AB231" s="163"/>
      <c r="AC231" s="163"/>
      <c r="AD231" s="163"/>
      <c r="AE231" s="163"/>
      <c r="AF231" s="163"/>
      <c r="AG231" s="163"/>
    </row>
    <row r="232" spans="21:33" ht="19.899999999999999" customHeight="1">
      <c r="U232" s="163"/>
      <c r="V232" s="163"/>
      <c r="W232" s="163"/>
      <c r="X232" s="163"/>
      <c r="Y232" s="163"/>
      <c r="Z232" s="163"/>
      <c r="AA232" s="163"/>
      <c r="AB232" s="163"/>
      <c r="AC232" s="163"/>
      <c r="AD232" s="163"/>
      <c r="AE232" s="163"/>
      <c r="AF232" s="163"/>
      <c r="AG232" s="163"/>
    </row>
    <row r="233" spans="21:33" ht="19.899999999999999" customHeight="1">
      <c r="U233" s="163"/>
      <c r="V233" s="163"/>
      <c r="W233" s="163"/>
      <c r="X233" s="163"/>
      <c r="Y233" s="163"/>
      <c r="Z233" s="163"/>
      <c r="AA233" s="163"/>
      <c r="AB233" s="163"/>
      <c r="AC233" s="163"/>
      <c r="AD233" s="163"/>
      <c r="AE233" s="163"/>
      <c r="AF233" s="163"/>
      <c r="AG233" s="163"/>
    </row>
    <row r="234" spans="21:33" ht="19.899999999999999" customHeight="1">
      <c r="U234" s="163"/>
      <c r="V234" s="163"/>
      <c r="W234" s="163"/>
      <c r="X234" s="163"/>
      <c r="Y234" s="163"/>
      <c r="Z234" s="163"/>
      <c r="AA234" s="163"/>
      <c r="AB234" s="163"/>
      <c r="AC234" s="163"/>
      <c r="AD234" s="163"/>
      <c r="AE234" s="163"/>
      <c r="AF234" s="163"/>
      <c r="AG234" s="163"/>
    </row>
    <row r="235" spans="21:33" ht="19.899999999999999" customHeight="1">
      <c r="U235" s="163"/>
      <c r="V235" s="163"/>
      <c r="W235" s="163"/>
      <c r="X235" s="163"/>
      <c r="Y235" s="163"/>
      <c r="Z235" s="163"/>
      <c r="AA235" s="163"/>
      <c r="AB235" s="163"/>
      <c r="AC235" s="163"/>
      <c r="AD235" s="163"/>
      <c r="AE235" s="163"/>
      <c r="AF235" s="163"/>
      <c r="AG235" s="163"/>
    </row>
    <row r="236" spans="21:33" ht="19.899999999999999" customHeight="1">
      <c r="U236" s="163"/>
      <c r="V236" s="163"/>
      <c r="W236" s="163"/>
      <c r="X236" s="163"/>
      <c r="Y236" s="163"/>
      <c r="Z236" s="163"/>
      <c r="AA236" s="163"/>
      <c r="AB236" s="163"/>
      <c r="AC236" s="163"/>
      <c r="AD236" s="163"/>
      <c r="AE236" s="163"/>
      <c r="AF236" s="163"/>
      <c r="AG236" s="163"/>
    </row>
    <row r="237" spans="21:33" ht="19.899999999999999" customHeight="1">
      <c r="U237" s="163"/>
      <c r="V237" s="163"/>
      <c r="W237" s="163"/>
      <c r="X237" s="163"/>
      <c r="Y237" s="163"/>
      <c r="Z237" s="163"/>
      <c r="AA237" s="163"/>
      <c r="AB237" s="163"/>
      <c r="AC237" s="163"/>
      <c r="AD237" s="163"/>
      <c r="AE237" s="163"/>
      <c r="AF237" s="163"/>
      <c r="AG237" s="163"/>
    </row>
    <row r="238" spans="21:33" ht="19.899999999999999" customHeight="1">
      <c r="U238" s="163"/>
      <c r="V238" s="163"/>
      <c r="W238" s="163"/>
      <c r="X238" s="163"/>
      <c r="Y238" s="163"/>
      <c r="Z238" s="163"/>
      <c r="AA238" s="163"/>
      <c r="AB238" s="163"/>
      <c r="AC238" s="163"/>
      <c r="AD238" s="163"/>
      <c r="AE238" s="163"/>
      <c r="AF238" s="163"/>
      <c r="AG238" s="163"/>
    </row>
    <row r="239" spans="21:33" ht="19.899999999999999" customHeight="1">
      <c r="U239" s="163"/>
      <c r="V239" s="163"/>
      <c r="W239" s="163"/>
      <c r="X239" s="163"/>
      <c r="Y239" s="163"/>
      <c r="Z239" s="163"/>
      <c r="AA239" s="163"/>
      <c r="AB239" s="163"/>
      <c r="AC239" s="163"/>
      <c r="AD239" s="163"/>
      <c r="AE239" s="163"/>
      <c r="AF239" s="163"/>
      <c r="AG239" s="163"/>
    </row>
    <row r="240" spans="21:33" ht="19.899999999999999" customHeight="1">
      <c r="U240" s="163"/>
      <c r="V240" s="163"/>
      <c r="W240" s="163"/>
      <c r="X240" s="163"/>
      <c r="Y240" s="163"/>
      <c r="Z240" s="163"/>
      <c r="AA240" s="163"/>
      <c r="AB240" s="163"/>
      <c r="AC240" s="163"/>
      <c r="AD240" s="163"/>
      <c r="AE240" s="163"/>
      <c r="AF240" s="163"/>
      <c r="AG240" s="163"/>
    </row>
    <row r="241" spans="21:33" ht="19.899999999999999" customHeight="1">
      <c r="U241" s="163"/>
      <c r="V241" s="163"/>
      <c r="W241" s="163"/>
      <c r="X241" s="163"/>
      <c r="Y241" s="163"/>
      <c r="Z241" s="163"/>
      <c r="AA241" s="163"/>
      <c r="AB241" s="163"/>
      <c r="AC241" s="163"/>
      <c r="AD241" s="163"/>
      <c r="AE241" s="163"/>
      <c r="AF241" s="163"/>
      <c r="AG241" s="163"/>
    </row>
    <row r="242" spans="21:33" ht="19.899999999999999" customHeight="1">
      <c r="U242" s="163"/>
      <c r="V242" s="163"/>
      <c r="W242" s="163"/>
      <c r="X242" s="163"/>
      <c r="Y242" s="163"/>
      <c r="Z242" s="163"/>
      <c r="AA242" s="163"/>
      <c r="AB242" s="163"/>
      <c r="AC242" s="163"/>
      <c r="AD242" s="163"/>
      <c r="AE242" s="163"/>
      <c r="AF242" s="163"/>
      <c r="AG242" s="163"/>
    </row>
    <row r="243" spans="21:33" ht="19.899999999999999" customHeight="1">
      <c r="U243" s="163"/>
      <c r="V243" s="163"/>
      <c r="W243" s="163"/>
      <c r="X243" s="163"/>
      <c r="Y243" s="163"/>
      <c r="Z243" s="163"/>
      <c r="AA243" s="163"/>
      <c r="AB243" s="163"/>
      <c r="AC243" s="163"/>
      <c r="AD243" s="163"/>
      <c r="AE243" s="163"/>
      <c r="AF243" s="163"/>
      <c r="AG243" s="163"/>
    </row>
    <row r="244" spans="21:33" ht="19.899999999999999" customHeight="1">
      <c r="U244" s="163"/>
      <c r="V244" s="163"/>
      <c r="W244" s="163"/>
      <c r="X244" s="163"/>
      <c r="Y244" s="163"/>
      <c r="Z244" s="163"/>
      <c r="AA244" s="163"/>
      <c r="AB244" s="163"/>
      <c r="AC244" s="163"/>
      <c r="AD244" s="163"/>
      <c r="AE244" s="163"/>
      <c r="AF244" s="163"/>
      <c r="AG244" s="163"/>
    </row>
    <row r="245" spans="21:33" ht="19.899999999999999" customHeight="1">
      <c r="U245" s="163"/>
      <c r="V245" s="163"/>
      <c r="W245" s="163"/>
      <c r="X245" s="163"/>
      <c r="Y245" s="163"/>
      <c r="Z245" s="163"/>
      <c r="AA245" s="163"/>
      <c r="AB245" s="163"/>
      <c r="AC245" s="163"/>
      <c r="AD245" s="163"/>
      <c r="AE245" s="163"/>
      <c r="AF245" s="163"/>
      <c r="AG245" s="163"/>
    </row>
    <row r="246" spans="21:33" ht="19.899999999999999" customHeight="1">
      <c r="U246" s="163"/>
      <c r="V246" s="163"/>
      <c r="W246" s="163"/>
      <c r="X246" s="163"/>
      <c r="Y246" s="163"/>
      <c r="Z246" s="163"/>
      <c r="AA246" s="163"/>
      <c r="AB246" s="163"/>
      <c r="AC246" s="163"/>
      <c r="AD246" s="163"/>
      <c r="AE246" s="163"/>
      <c r="AF246" s="163"/>
      <c r="AG246" s="163"/>
    </row>
    <row r="247" spans="21:33" ht="19.899999999999999" customHeight="1">
      <c r="U247" s="163"/>
      <c r="V247" s="163"/>
      <c r="W247" s="163"/>
      <c r="X247" s="163"/>
      <c r="Y247" s="163"/>
      <c r="Z247" s="163"/>
      <c r="AA247" s="163"/>
      <c r="AB247" s="163"/>
      <c r="AC247" s="163"/>
      <c r="AD247" s="163"/>
      <c r="AE247" s="163"/>
      <c r="AF247" s="163"/>
      <c r="AG247" s="163"/>
    </row>
    <row r="248" spans="21:33" ht="19.899999999999999" customHeight="1">
      <c r="U248" s="163"/>
      <c r="V248" s="163"/>
      <c r="W248" s="163"/>
      <c r="X248" s="163"/>
      <c r="Y248" s="163"/>
      <c r="Z248" s="163"/>
      <c r="AA248" s="163"/>
      <c r="AB248" s="163"/>
      <c r="AC248" s="163"/>
      <c r="AD248" s="163"/>
      <c r="AE248" s="163"/>
      <c r="AF248" s="163"/>
      <c r="AG248" s="163"/>
    </row>
    <row r="249" spans="21:33" ht="19.899999999999999" customHeight="1">
      <c r="U249" s="163"/>
      <c r="V249" s="163"/>
      <c r="W249" s="163"/>
      <c r="X249" s="163"/>
      <c r="Y249" s="163"/>
      <c r="Z249" s="163"/>
      <c r="AA249" s="163"/>
      <c r="AB249" s="163"/>
      <c r="AC249" s="163"/>
      <c r="AD249" s="163"/>
      <c r="AE249" s="163"/>
      <c r="AF249" s="163"/>
      <c r="AG249" s="163"/>
    </row>
    <row r="250" spans="21:33" ht="19.899999999999999" customHeight="1">
      <c r="U250" s="163"/>
      <c r="V250" s="163"/>
      <c r="W250" s="163"/>
      <c r="X250" s="163"/>
      <c r="Y250" s="163"/>
      <c r="Z250" s="163"/>
      <c r="AA250" s="163"/>
      <c r="AB250" s="163"/>
      <c r="AC250" s="163"/>
      <c r="AD250" s="163"/>
      <c r="AE250" s="163"/>
      <c r="AF250" s="163"/>
      <c r="AG250" s="163"/>
    </row>
    <row r="251" spans="21:33" ht="19.899999999999999" customHeight="1">
      <c r="U251" s="163"/>
      <c r="V251" s="163"/>
      <c r="W251" s="163"/>
      <c r="X251" s="163"/>
      <c r="Y251" s="163"/>
      <c r="Z251" s="163"/>
      <c r="AA251" s="163"/>
      <c r="AB251" s="163"/>
      <c r="AC251" s="163"/>
      <c r="AD251" s="163"/>
      <c r="AE251" s="163"/>
      <c r="AF251" s="163"/>
      <c r="AG251" s="163"/>
    </row>
    <row r="252" spans="21:33" ht="19.899999999999999" customHeight="1">
      <c r="U252" s="163"/>
      <c r="V252" s="163"/>
      <c r="W252" s="163"/>
      <c r="X252" s="163"/>
      <c r="Y252" s="163"/>
      <c r="Z252" s="163"/>
      <c r="AA252" s="163"/>
      <c r="AB252" s="163"/>
      <c r="AC252" s="163"/>
      <c r="AD252" s="163"/>
      <c r="AE252" s="163"/>
      <c r="AF252" s="163"/>
      <c r="AG252" s="163"/>
    </row>
    <row r="253" spans="21:33" ht="19.899999999999999" customHeight="1">
      <c r="U253" s="163"/>
      <c r="V253" s="163"/>
      <c r="W253" s="163"/>
      <c r="X253" s="163"/>
      <c r="Y253" s="163"/>
      <c r="Z253" s="163"/>
      <c r="AA253" s="163"/>
      <c r="AB253" s="163"/>
      <c r="AC253" s="163"/>
      <c r="AD253" s="163"/>
      <c r="AE253" s="163"/>
      <c r="AF253" s="163"/>
      <c r="AG253" s="163"/>
    </row>
    <row r="254" spans="21:33" ht="19.899999999999999" customHeight="1">
      <c r="U254" s="163"/>
      <c r="V254" s="163"/>
      <c r="W254" s="163"/>
      <c r="X254" s="163"/>
      <c r="Y254" s="163"/>
      <c r="Z254" s="163"/>
      <c r="AA254" s="163"/>
      <c r="AB254" s="163"/>
      <c r="AC254" s="163"/>
      <c r="AD254" s="163"/>
      <c r="AE254" s="163"/>
      <c r="AF254" s="163"/>
      <c r="AG254" s="163"/>
    </row>
    <row r="255" spans="21:33" ht="19.899999999999999" customHeight="1">
      <c r="U255" s="163"/>
      <c r="V255" s="163"/>
      <c r="W255" s="163"/>
      <c r="X255" s="163"/>
      <c r="Y255" s="163"/>
      <c r="Z255" s="163"/>
      <c r="AA255" s="163"/>
      <c r="AB255" s="163"/>
      <c r="AC255" s="163"/>
      <c r="AD255" s="163"/>
      <c r="AE255" s="163"/>
      <c r="AF255" s="163"/>
      <c r="AG255" s="163"/>
    </row>
    <row r="256" spans="21:33" ht="19.899999999999999" customHeight="1">
      <c r="U256" s="163"/>
      <c r="V256" s="163"/>
      <c r="W256" s="163"/>
      <c r="X256" s="163"/>
      <c r="Y256" s="163"/>
      <c r="Z256" s="163"/>
      <c r="AA256" s="163"/>
      <c r="AB256" s="163"/>
      <c r="AC256" s="163"/>
      <c r="AD256" s="163"/>
      <c r="AE256" s="163"/>
      <c r="AF256" s="163"/>
      <c r="AG256" s="163"/>
    </row>
    <row r="257" spans="21:33" ht="19.899999999999999" customHeight="1">
      <c r="U257" s="163"/>
      <c r="V257" s="163"/>
      <c r="W257" s="163"/>
      <c r="X257" s="163"/>
      <c r="Y257" s="163"/>
      <c r="Z257" s="163"/>
      <c r="AA257" s="163"/>
      <c r="AB257" s="163"/>
      <c r="AC257" s="163"/>
      <c r="AD257" s="163"/>
      <c r="AE257" s="163"/>
      <c r="AF257" s="163"/>
      <c r="AG257" s="163"/>
    </row>
    <row r="258" spans="21:33" ht="19.899999999999999" customHeight="1">
      <c r="U258" s="163"/>
      <c r="V258" s="163"/>
      <c r="W258" s="163"/>
      <c r="X258" s="163"/>
      <c r="Y258" s="163"/>
      <c r="Z258" s="163"/>
      <c r="AA258" s="163"/>
      <c r="AB258" s="163"/>
      <c r="AC258" s="163"/>
      <c r="AD258" s="163"/>
      <c r="AE258" s="163"/>
      <c r="AF258" s="163"/>
      <c r="AG258" s="163"/>
    </row>
    <row r="259" spans="21:33" ht="19.899999999999999" customHeight="1">
      <c r="U259" s="163"/>
      <c r="V259" s="163"/>
      <c r="W259" s="163"/>
      <c r="X259" s="163"/>
      <c r="Y259" s="163"/>
      <c r="Z259" s="163"/>
      <c r="AA259" s="163"/>
      <c r="AB259" s="163"/>
      <c r="AC259" s="163"/>
      <c r="AD259" s="163"/>
      <c r="AE259" s="163"/>
      <c r="AF259" s="163"/>
      <c r="AG259" s="163"/>
    </row>
    <row r="260" spans="21:33" ht="19.899999999999999" customHeight="1">
      <c r="U260" s="163"/>
      <c r="V260" s="163"/>
      <c r="W260" s="163"/>
      <c r="X260" s="163"/>
      <c r="Y260" s="163"/>
      <c r="Z260" s="163"/>
      <c r="AA260" s="163"/>
      <c r="AB260" s="163"/>
      <c r="AC260" s="163"/>
      <c r="AD260" s="163"/>
      <c r="AE260" s="163"/>
      <c r="AF260" s="163"/>
      <c r="AG260" s="163"/>
    </row>
    <row r="261" spans="21:33" ht="19.899999999999999" customHeight="1">
      <c r="U261" s="163"/>
      <c r="V261" s="163"/>
      <c r="W261" s="163"/>
      <c r="X261" s="163"/>
      <c r="Y261" s="163"/>
      <c r="Z261" s="163"/>
      <c r="AA261" s="163"/>
      <c r="AB261" s="163"/>
      <c r="AC261" s="163"/>
      <c r="AD261" s="163"/>
      <c r="AE261" s="163"/>
      <c r="AF261" s="163"/>
      <c r="AG261" s="163"/>
    </row>
    <row r="262" spans="21:33" ht="19.899999999999999" customHeight="1">
      <c r="U262" s="163"/>
      <c r="V262" s="163"/>
      <c r="W262" s="163"/>
      <c r="X262" s="163"/>
      <c r="Y262" s="163"/>
      <c r="Z262" s="163"/>
      <c r="AA262" s="163"/>
      <c r="AB262" s="163"/>
      <c r="AC262" s="163"/>
      <c r="AD262" s="163"/>
      <c r="AE262" s="163"/>
      <c r="AF262" s="163"/>
      <c r="AG262" s="163"/>
    </row>
    <row r="263" spans="21:33" ht="19.899999999999999" customHeight="1">
      <c r="U263" s="163"/>
      <c r="V263" s="163"/>
      <c r="W263" s="163"/>
      <c r="X263" s="163"/>
      <c r="Y263" s="163"/>
      <c r="Z263" s="163"/>
      <c r="AA263" s="163"/>
      <c r="AB263" s="163"/>
      <c r="AC263" s="163"/>
      <c r="AD263" s="163"/>
      <c r="AE263" s="163"/>
      <c r="AF263" s="163"/>
      <c r="AG263" s="163"/>
    </row>
    <row r="264" spans="21:33" ht="19.899999999999999" customHeight="1">
      <c r="U264" s="163"/>
      <c r="V264" s="163"/>
      <c r="W264" s="163"/>
      <c r="X264" s="163"/>
      <c r="Y264" s="163"/>
      <c r="Z264" s="163"/>
      <c r="AA264" s="163"/>
      <c r="AB264" s="163"/>
      <c r="AC264" s="163"/>
      <c r="AD264" s="163"/>
      <c r="AE264" s="163"/>
      <c r="AF264" s="163"/>
      <c r="AG264" s="163"/>
    </row>
    <row r="265" spans="21:33" ht="19.899999999999999" customHeight="1">
      <c r="U265" s="163"/>
      <c r="V265" s="163"/>
      <c r="W265" s="163"/>
      <c r="X265" s="163"/>
      <c r="Y265" s="163"/>
      <c r="Z265" s="163"/>
      <c r="AA265" s="163"/>
      <c r="AB265" s="163"/>
      <c r="AC265" s="163"/>
      <c r="AD265" s="163"/>
      <c r="AE265" s="163"/>
      <c r="AF265" s="163"/>
      <c r="AG265" s="163"/>
    </row>
    <row r="266" spans="21:33" ht="19.899999999999999" customHeight="1">
      <c r="U266" s="163"/>
      <c r="V266" s="163"/>
      <c r="W266" s="163"/>
      <c r="X266" s="163"/>
      <c r="Y266" s="163"/>
      <c r="Z266" s="163"/>
      <c r="AA266" s="163"/>
      <c r="AB266" s="163"/>
      <c r="AC266" s="163"/>
      <c r="AD266" s="163"/>
      <c r="AE266" s="163"/>
      <c r="AF266" s="163"/>
      <c r="AG266" s="163"/>
    </row>
    <row r="267" spans="21:33" ht="19.899999999999999" customHeight="1">
      <c r="U267" s="163"/>
      <c r="V267" s="163"/>
      <c r="W267" s="163"/>
      <c r="X267" s="163"/>
      <c r="Y267" s="163"/>
      <c r="Z267" s="163"/>
      <c r="AA267" s="163"/>
      <c r="AB267" s="163"/>
      <c r="AC267" s="163"/>
      <c r="AD267" s="163"/>
      <c r="AE267" s="163"/>
      <c r="AF267" s="163"/>
      <c r="AG267" s="163"/>
    </row>
    <row r="268" spans="21:33" ht="19.899999999999999" customHeight="1">
      <c r="U268" s="163"/>
      <c r="V268" s="163"/>
      <c r="W268" s="163"/>
      <c r="X268" s="163"/>
      <c r="Y268" s="163"/>
      <c r="Z268" s="163"/>
      <c r="AA268" s="163"/>
      <c r="AB268" s="163"/>
      <c r="AC268" s="163"/>
      <c r="AD268" s="163"/>
      <c r="AE268" s="163"/>
      <c r="AF268" s="163"/>
      <c r="AG268" s="163"/>
    </row>
    <row r="269" spans="21:33" ht="19.899999999999999" customHeight="1">
      <c r="U269" s="163"/>
      <c r="V269" s="163"/>
      <c r="W269" s="163"/>
      <c r="X269" s="163"/>
      <c r="Y269" s="163"/>
      <c r="Z269" s="163"/>
      <c r="AA269" s="163"/>
      <c r="AB269" s="163"/>
      <c r="AC269" s="163"/>
      <c r="AD269" s="163"/>
      <c r="AE269" s="163"/>
      <c r="AF269" s="163"/>
      <c r="AG269" s="163"/>
    </row>
    <row r="270" spans="21:33" ht="19.899999999999999" customHeight="1">
      <c r="U270" s="163"/>
      <c r="V270" s="163"/>
      <c r="W270" s="163"/>
      <c r="X270" s="163"/>
      <c r="Y270" s="163"/>
      <c r="Z270" s="163"/>
      <c r="AA270" s="163"/>
      <c r="AB270" s="163"/>
      <c r="AC270" s="163"/>
      <c r="AD270" s="163"/>
      <c r="AE270" s="163"/>
      <c r="AF270" s="163"/>
      <c r="AG270" s="163"/>
    </row>
    <row r="271" spans="21:33" ht="19.899999999999999" customHeight="1">
      <c r="U271" s="163"/>
      <c r="V271" s="163"/>
      <c r="W271" s="163"/>
      <c r="X271" s="163"/>
      <c r="Y271" s="163"/>
      <c r="Z271" s="163"/>
      <c r="AA271" s="163"/>
      <c r="AB271" s="163"/>
      <c r="AC271" s="163"/>
      <c r="AD271" s="163"/>
      <c r="AE271" s="163"/>
      <c r="AF271" s="163"/>
      <c r="AG271" s="163"/>
    </row>
    <row r="272" spans="21:33" ht="19.899999999999999" customHeight="1">
      <c r="U272" s="163"/>
      <c r="V272" s="163"/>
      <c r="W272" s="163"/>
      <c r="X272" s="163"/>
      <c r="Y272" s="163"/>
      <c r="Z272" s="163"/>
      <c r="AA272" s="163"/>
      <c r="AB272" s="163"/>
      <c r="AC272" s="163"/>
      <c r="AD272" s="163"/>
      <c r="AE272" s="163"/>
      <c r="AF272" s="163"/>
      <c r="AG272" s="163"/>
    </row>
    <row r="273" spans="21:33" ht="19.899999999999999" customHeight="1">
      <c r="U273" s="163"/>
      <c r="V273" s="163"/>
      <c r="W273" s="163"/>
      <c r="X273" s="163"/>
      <c r="Y273" s="163"/>
      <c r="Z273" s="163"/>
      <c r="AA273" s="163"/>
      <c r="AB273" s="163"/>
      <c r="AC273" s="163"/>
      <c r="AD273" s="163"/>
      <c r="AE273" s="163"/>
      <c r="AF273" s="163"/>
      <c r="AG273" s="163"/>
    </row>
    <row r="274" spans="21:33" ht="19.899999999999999" customHeight="1">
      <c r="U274" s="163"/>
      <c r="V274" s="163"/>
      <c r="W274" s="163"/>
      <c r="X274" s="163"/>
      <c r="Y274" s="163"/>
      <c r="Z274" s="163"/>
      <c r="AA274" s="163"/>
      <c r="AB274" s="163"/>
      <c r="AC274" s="163"/>
      <c r="AD274" s="163"/>
      <c r="AE274" s="163"/>
      <c r="AF274" s="163"/>
      <c r="AG274" s="163"/>
    </row>
    <row r="275" spans="21:33" ht="19.899999999999999" customHeight="1">
      <c r="U275" s="163"/>
      <c r="V275" s="163"/>
      <c r="W275" s="163"/>
      <c r="X275" s="163"/>
      <c r="Y275" s="163"/>
      <c r="Z275" s="163"/>
      <c r="AA275" s="163"/>
      <c r="AB275" s="163"/>
      <c r="AC275" s="163"/>
      <c r="AD275" s="163"/>
      <c r="AE275" s="163"/>
      <c r="AF275" s="163"/>
      <c r="AG275" s="163"/>
    </row>
    <row r="276" spans="21:33" ht="19.899999999999999" customHeight="1">
      <c r="U276" s="163"/>
      <c r="V276" s="163"/>
      <c r="W276" s="163"/>
      <c r="X276" s="163"/>
      <c r="Y276" s="163"/>
      <c r="Z276" s="163"/>
      <c r="AA276" s="163"/>
      <c r="AB276" s="163"/>
      <c r="AC276" s="163"/>
      <c r="AD276" s="163"/>
      <c r="AE276" s="163"/>
      <c r="AF276" s="163"/>
      <c r="AG276" s="163"/>
    </row>
    <row r="277" spans="21:33" ht="19.899999999999999" customHeight="1">
      <c r="U277" s="163"/>
      <c r="V277" s="163"/>
      <c r="W277" s="163"/>
      <c r="X277" s="163"/>
      <c r="Y277" s="163"/>
      <c r="Z277" s="163"/>
      <c r="AA277" s="163"/>
      <c r="AB277" s="163"/>
      <c r="AC277" s="163"/>
      <c r="AD277" s="163"/>
      <c r="AE277" s="163"/>
      <c r="AF277" s="163"/>
      <c r="AG277" s="163"/>
    </row>
    <row r="278" spans="21:33" ht="19.899999999999999" customHeight="1">
      <c r="U278" s="163"/>
      <c r="V278" s="163"/>
      <c r="W278" s="163"/>
      <c r="X278" s="163"/>
      <c r="Y278" s="163"/>
      <c r="Z278" s="163"/>
      <c r="AA278" s="163"/>
      <c r="AB278" s="163"/>
      <c r="AC278" s="163"/>
      <c r="AD278" s="163"/>
      <c r="AE278" s="163"/>
      <c r="AF278" s="163"/>
      <c r="AG278" s="163"/>
    </row>
    <row r="279" spans="21:33" ht="19.899999999999999" customHeight="1">
      <c r="U279" s="163"/>
      <c r="V279" s="163"/>
      <c r="W279" s="163"/>
      <c r="X279" s="163"/>
      <c r="Y279" s="163"/>
      <c r="Z279" s="163"/>
      <c r="AA279" s="163"/>
      <c r="AB279" s="163"/>
      <c r="AC279" s="163"/>
      <c r="AD279" s="163"/>
      <c r="AE279" s="163"/>
      <c r="AF279" s="163"/>
      <c r="AG279" s="163"/>
    </row>
    <row r="280" spans="21:33" ht="19.899999999999999" customHeight="1">
      <c r="U280" s="163"/>
      <c r="V280" s="163"/>
      <c r="W280" s="163"/>
      <c r="X280" s="163"/>
      <c r="Y280" s="163"/>
      <c r="Z280" s="163"/>
      <c r="AA280" s="163"/>
      <c r="AB280" s="163"/>
      <c r="AC280" s="163"/>
      <c r="AD280" s="163"/>
      <c r="AE280" s="163"/>
      <c r="AF280" s="163"/>
      <c r="AG280" s="163"/>
    </row>
    <row r="281" spans="21:33" ht="19.899999999999999" customHeight="1">
      <c r="U281" s="163"/>
      <c r="V281" s="163"/>
      <c r="W281" s="163"/>
      <c r="X281" s="163"/>
      <c r="Y281" s="163"/>
      <c r="Z281" s="163"/>
      <c r="AA281" s="163"/>
      <c r="AB281" s="163"/>
      <c r="AC281" s="163"/>
      <c r="AD281" s="163"/>
      <c r="AE281" s="163"/>
      <c r="AF281" s="163"/>
      <c r="AG281" s="163"/>
    </row>
    <row r="282" spans="21:33" ht="19.899999999999999" customHeight="1">
      <c r="U282" s="163"/>
      <c r="V282" s="163"/>
      <c r="W282" s="163"/>
      <c r="X282" s="163"/>
      <c r="Y282" s="163"/>
      <c r="Z282" s="163"/>
      <c r="AA282" s="163"/>
      <c r="AB282" s="163"/>
      <c r="AC282" s="163"/>
      <c r="AD282" s="163"/>
      <c r="AE282" s="163"/>
      <c r="AF282" s="163"/>
      <c r="AG282" s="163"/>
    </row>
    <row r="283" spans="21:33" ht="19.899999999999999" customHeight="1">
      <c r="U283" s="163"/>
      <c r="V283" s="163"/>
      <c r="W283" s="163"/>
      <c r="X283" s="163"/>
      <c r="Y283" s="163"/>
      <c r="Z283" s="163"/>
      <c r="AA283" s="163"/>
      <c r="AB283" s="163"/>
      <c r="AC283" s="163"/>
      <c r="AD283" s="163"/>
      <c r="AE283" s="163"/>
      <c r="AF283" s="163"/>
      <c r="AG283" s="163"/>
    </row>
    <row r="284" spans="21:33" ht="19.899999999999999" customHeight="1">
      <c r="U284" s="163"/>
      <c r="V284" s="163"/>
      <c r="W284" s="163"/>
      <c r="X284" s="163"/>
      <c r="Y284" s="163"/>
      <c r="Z284" s="163"/>
      <c r="AA284" s="163"/>
      <c r="AB284" s="163"/>
      <c r="AC284" s="163"/>
      <c r="AD284" s="163"/>
      <c r="AE284" s="163"/>
      <c r="AF284" s="163"/>
      <c r="AG284" s="163"/>
    </row>
    <row r="285" spans="21:33" ht="19.899999999999999" customHeight="1">
      <c r="U285" s="163"/>
      <c r="V285" s="163"/>
      <c r="W285" s="163"/>
      <c r="X285" s="163"/>
      <c r="Y285" s="163"/>
      <c r="Z285" s="163"/>
      <c r="AA285" s="163"/>
      <c r="AB285" s="163"/>
      <c r="AC285" s="163"/>
      <c r="AD285" s="163"/>
      <c r="AE285" s="163"/>
      <c r="AF285" s="163"/>
      <c r="AG285" s="163"/>
    </row>
    <row r="286" spans="21:33" ht="19.899999999999999" customHeight="1">
      <c r="U286" s="163"/>
      <c r="V286" s="163"/>
      <c r="W286" s="163"/>
      <c r="X286" s="163"/>
      <c r="Y286" s="163"/>
      <c r="Z286" s="163"/>
      <c r="AA286" s="163"/>
      <c r="AB286" s="163"/>
      <c r="AC286" s="163"/>
      <c r="AD286" s="163"/>
      <c r="AE286" s="163"/>
      <c r="AF286" s="163"/>
      <c r="AG286" s="163"/>
    </row>
    <row r="287" spans="21:33" ht="19.899999999999999" customHeight="1">
      <c r="U287" s="163"/>
      <c r="V287" s="163"/>
      <c r="W287" s="163"/>
      <c r="X287" s="163"/>
      <c r="Y287" s="163"/>
      <c r="Z287" s="163"/>
      <c r="AA287" s="163"/>
      <c r="AB287" s="163"/>
      <c r="AC287" s="163"/>
      <c r="AD287" s="163"/>
      <c r="AE287" s="163"/>
      <c r="AF287" s="163"/>
      <c r="AG287" s="163"/>
    </row>
    <row r="288" spans="21:33" ht="19.899999999999999" customHeight="1">
      <c r="U288" s="163"/>
      <c r="V288" s="163"/>
      <c r="W288" s="163"/>
      <c r="X288" s="163"/>
      <c r="Y288" s="163"/>
      <c r="Z288" s="163"/>
      <c r="AA288" s="163"/>
      <c r="AB288" s="163"/>
      <c r="AC288" s="163"/>
      <c r="AD288" s="163"/>
      <c r="AE288" s="163"/>
      <c r="AF288" s="163"/>
      <c r="AG288" s="163"/>
    </row>
    <row r="289" spans="21:33" ht="19.899999999999999" customHeight="1">
      <c r="U289" s="163"/>
      <c r="V289" s="163"/>
      <c r="W289" s="163"/>
      <c r="X289" s="163"/>
      <c r="Y289" s="163"/>
      <c r="Z289" s="163"/>
      <c r="AA289" s="163"/>
      <c r="AB289" s="163"/>
      <c r="AC289" s="163"/>
      <c r="AD289" s="163"/>
      <c r="AE289" s="163"/>
      <c r="AF289" s="163"/>
      <c r="AG289" s="163"/>
    </row>
    <row r="290" spans="21:33" ht="19.899999999999999" customHeight="1">
      <c r="U290" s="163"/>
      <c r="V290" s="163"/>
      <c r="W290" s="163"/>
      <c r="X290" s="163"/>
      <c r="Y290" s="163"/>
      <c r="Z290" s="163"/>
      <c r="AA290" s="163"/>
      <c r="AB290" s="163"/>
      <c r="AC290" s="163"/>
      <c r="AD290" s="163"/>
      <c r="AE290" s="163"/>
      <c r="AF290" s="163"/>
      <c r="AG290" s="163"/>
    </row>
    <row r="291" spans="21:33" ht="19.899999999999999" customHeight="1">
      <c r="U291" s="163"/>
      <c r="V291" s="163"/>
      <c r="W291" s="163"/>
      <c r="X291" s="163"/>
      <c r="Y291" s="163"/>
      <c r="Z291" s="163"/>
      <c r="AA291" s="163"/>
      <c r="AB291" s="163"/>
      <c r="AC291" s="163"/>
      <c r="AD291" s="163"/>
      <c r="AE291" s="163"/>
      <c r="AF291" s="163"/>
      <c r="AG291" s="163"/>
    </row>
    <row r="292" spans="21:33" ht="19.899999999999999" customHeight="1">
      <c r="U292" s="163"/>
      <c r="V292" s="163"/>
      <c r="W292" s="163"/>
      <c r="X292" s="163"/>
      <c r="Y292" s="163"/>
      <c r="Z292" s="163"/>
      <c r="AA292" s="163"/>
      <c r="AB292" s="163"/>
      <c r="AC292" s="163"/>
      <c r="AD292" s="163"/>
      <c r="AE292" s="163"/>
      <c r="AF292" s="163"/>
      <c r="AG292" s="163"/>
    </row>
    <row r="293" spans="21:33" ht="19.899999999999999" customHeight="1">
      <c r="U293" s="163"/>
      <c r="V293" s="163"/>
      <c r="W293" s="163"/>
      <c r="X293" s="163"/>
      <c r="Y293" s="163"/>
      <c r="Z293" s="163"/>
      <c r="AA293" s="163"/>
      <c r="AB293" s="163"/>
      <c r="AC293" s="163"/>
      <c r="AD293" s="163"/>
      <c r="AE293" s="163"/>
      <c r="AF293" s="163"/>
      <c r="AG293" s="163"/>
    </row>
    <row r="294" spans="21:33" ht="19.899999999999999" customHeight="1">
      <c r="U294" s="163"/>
      <c r="V294" s="163"/>
      <c r="W294" s="163"/>
      <c r="X294" s="163"/>
      <c r="Y294" s="163"/>
      <c r="Z294" s="163"/>
      <c r="AA294" s="163"/>
      <c r="AB294" s="163"/>
      <c r="AC294" s="163"/>
      <c r="AD294" s="163"/>
      <c r="AE294" s="163"/>
      <c r="AF294" s="163"/>
      <c r="AG294" s="163"/>
    </row>
    <row r="295" spans="21:33" ht="19.899999999999999" customHeight="1">
      <c r="U295" s="163"/>
      <c r="V295" s="163"/>
      <c r="W295" s="163"/>
      <c r="X295" s="163"/>
      <c r="Y295" s="163"/>
      <c r="Z295" s="163"/>
      <c r="AA295" s="163"/>
      <c r="AB295" s="163"/>
      <c r="AC295" s="163"/>
      <c r="AD295" s="163"/>
      <c r="AE295" s="163"/>
      <c r="AF295" s="163"/>
      <c r="AG295" s="163"/>
    </row>
    <row r="296" spans="21:33" ht="19.899999999999999" customHeight="1">
      <c r="U296" s="163"/>
      <c r="V296" s="163"/>
      <c r="W296" s="163"/>
      <c r="X296" s="163"/>
      <c r="Y296" s="163"/>
      <c r="Z296" s="163"/>
      <c r="AA296" s="163"/>
      <c r="AB296" s="163"/>
      <c r="AC296" s="163"/>
      <c r="AD296" s="163"/>
      <c r="AE296" s="163"/>
      <c r="AF296" s="163"/>
      <c r="AG296" s="163"/>
    </row>
    <row r="297" spans="21:33" ht="19.899999999999999" customHeight="1">
      <c r="U297" s="163"/>
      <c r="V297" s="163"/>
      <c r="W297" s="163"/>
      <c r="X297" s="163"/>
      <c r="Y297" s="163"/>
      <c r="Z297" s="163"/>
      <c r="AA297" s="163"/>
      <c r="AB297" s="163"/>
      <c r="AC297" s="163"/>
      <c r="AD297" s="163"/>
      <c r="AE297" s="163"/>
      <c r="AF297" s="163"/>
      <c r="AG297" s="163"/>
    </row>
    <row r="298" spans="21:33" ht="19.899999999999999" customHeight="1">
      <c r="U298" s="163"/>
      <c r="V298" s="163"/>
      <c r="W298" s="163"/>
      <c r="X298" s="163"/>
      <c r="Y298" s="163"/>
      <c r="Z298" s="163"/>
      <c r="AA298" s="163"/>
      <c r="AB298" s="163"/>
      <c r="AC298" s="163"/>
      <c r="AD298" s="163"/>
      <c r="AE298" s="163"/>
      <c r="AF298" s="163"/>
      <c r="AG298" s="163"/>
    </row>
    <row r="299" spans="21:33" ht="19.899999999999999" customHeight="1">
      <c r="U299" s="163"/>
      <c r="V299" s="163"/>
      <c r="W299" s="163"/>
      <c r="X299" s="163"/>
      <c r="Y299" s="163"/>
      <c r="Z299" s="163"/>
      <c r="AA299" s="163"/>
      <c r="AB299" s="163"/>
      <c r="AC299" s="163"/>
      <c r="AD299" s="163"/>
      <c r="AE299" s="163"/>
      <c r="AF299" s="163"/>
      <c r="AG299" s="163"/>
    </row>
    <row r="300" spans="21:33" ht="19.899999999999999" customHeight="1">
      <c r="U300" s="163"/>
      <c r="V300" s="163"/>
      <c r="W300" s="163"/>
      <c r="X300" s="163"/>
      <c r="Y300" s="163"/>
      <c r="Z300" s="163"/>
      <c r="AA300" s="163"/>
      <c r="AB300" s="163"/>
      <c r="AC300" s="163"/>
      <c r="AD300" s="163"/>
      <c r="AE300" s="163"/>
      <c r="AF300" s="163"/>
      <c r="AG300" s="163"/>
    </row>
    <row r="301" spans="21:33" ht="19.899999999999999" customHeight="1">
      <c r="U301" s="163"/>
      <c r="V301" s="163"/>
      <c r="W301" s="163"/>
      <c r="X301" s="163"/>
      <c r="Y301" s="163"/>
      <c r="Z301" s="163"/>
      <c r="AA301" s="163"/>
      <c r="AB301" s="163"/>
      <c r="AC301" s="163"/>
      <c r="AD301" s="163"/>
      <c r="AE301" s="163"/>
      <c r="AF301" s="163"/>
      <c r="AG301" s="163"/>
    </row>
    <row r="302" spans="21:33" ht="19.899999999999999" customHeight="1">
      <c r="U302" s="163"/>
      <c r="V302" s="163"/>
      <c r="W302" s="163"/>
      <c r="X302" s="163"/>
      <c r="Y302" s="163"/>
      <c r="Z302" s="163"/>
      <c r="AA302" s="163"/>
      <c r="AB302" s="163"/>
      <c r="AC302" s="163"/>
      <c r="AD302" s="163"/>
      <c r="AE302" s="163"/>
      <c r="AF302" s="163"/>
      <c r="AG302" s="163"/>
    </row>
    <row r="303" spans="21:33" ht="19.899999999999999" customHeight="1">
      <c r="U303" s="163"/>
      <c r="V303" s="163"/>
      <c r="W303" s="163"/>
      <c r="X303" s="163"/>
      <c r="Y303" s="163"/>
      <c r="Z303" s="163"/>
      <c r="AA303" s="163"/>
      <c r="AB303" s="163"/>
      <c r="AC303" s="163"/>
      <c r="AD303" s="163"/>
      <c r="AE303" s="163"/>
      <c r="AF303" s="163"/>
      <c r="AG303" s="163"/>
    </row>
    <row r="304" spans="21:33" ht="19.899999999999999" customHeight="1">
      <c r="U304" s="163"/>
      <c r="V304" s="163"/>
      <c r="W304" s="163"/>
      <c r="X304" s="163"/>
      <c r="Y304" s="163"/>
      <c r="Z304" s="163"/>
      <c r="AA304" s="163"/>
      <c r="AB304" s="163"/>
      <c r="AC304" s="163"/>
      <c r="AD304" s="163"/>
      <c r="AE304" s="163"/>
      <c r="AF304" s="163"/>
      <c r="AG304" s="163"/>
    </row>
    <row r="305" spans="21:33" ht="19.899999999999999" customHeight="1">
      <c r="U305" s="163"/>
      <c r="V305" s="163"/>
      <c r="W305" s="163"/>
      <c r="X305" s="163"/>
      <c r="Y305" s="163"/>
      <c r="Z305" s="163"/>
      <c r="AA305" s="163"/>
      <c r="AB305" s="163"/>
      <c r="AC305" s="163"/>
      <c r="AD305" s="163"/>
      <c r="AE305" s="163"/>
      <c r="AF305" s="163"/>
      <c r="AG305" s="163"/>
    </row>
    <row r="306" spans="21:33" ht="19.899999999999999" customHeight="1">
      <c r="U306" s="163"/>
      <c r="V306" s="163"/>
      <c r="W306" s="163"/>
      <c r="X306" s="163"/>
      <c r="Y306" s="163"/>
      <c r="Z306" s="163"/>
      <c r="AA306" s="163"/>
      <c r="AB306" s="163"/>
      <c r="AC306" s="163"/>
      <c r="AD306" s="163"/>
      <c r="AE306" s="163"/>
      <c r="AF306" s="163"/>
      <c r="AG306" s="163"/>
    </row>
    <row r="307" spans="21:33" ht="19.899999999999999" customHeight="1">
      <c r="U307" s="163"/>
      <c r="V307" s="163"/>
      <c r="W307" s="163"/>
      <c r="X307" s="163"/>
      <c r="Y307" s="163"/>
      <c r="Z307" s="163"/>
      <c r="AA307" s="163"/>
      <c r="AB307" s="163"/>
      <c r="AC307" s="163"/>
      <c r="AD307" s="163"/>
      <c r="AE307" s="163"/>
      <c r="AF307" s="163"/>
      <c r="AG307" s="163"/>
    </row>
    <row r="308" spans="21:33" ht="19.899999999999999" customHeight="1">
      <c r="U308" s="163"/>
      <c r="V308" s="163"/>
      <c r="W308" s="163"/>
      <c r="X308" s="163"/>
      <c r="Y308" s="163"/>
      <c r="Z308" s="163"/>
      <c r="AA308" s="163"/>
      <c r="AB308" s="163"/>
      <c r="AC308" s="163"/>
      <c r="AD308" s="163"/>
      <c r="AE308" s="163"/>
      <c r="AF308" s="163"/>
      <c r="AG308" s="163"/>
    </row>
    <row r="309" spans="21:33" ht="19.899999999999999" customHeight="1">
      <c r="U309" s="163"/>
      <c r="V309" s="163"/>
      <c r="W309" s="163"/>
      <c r="X309" s="163"/>
      <c r="Y309" s="163"/>
      <c r="Z309" s="163"/>
      <c r="AA309" s="163"/>
      <c r="AB309" s="163"/>
      <c r="AC309" s="163"/>
      <c r="AD309" s="163"/>
      <c r="AE309" s="163"/>
      <c r="AF309" s="163"/>
      <c r="AG309" s="163"/>
    </row>
    <row r="310" spans="21:33" ht="19.899999999999999" customHeight="1">
      <c r="U310" s="163"/>
      <c r="V310" s="163"/>
      <c r="W310" s="163"/>
      <c r="X310" s="163"/>
      <c r="Y310" s="163"/>
      <c r="Z310" s="163"/>
      <c r="AA310" s="163"/>
      <c r="AB310" s="163"/>
      <c r="AC310" s="163"/>
      <c r="AD310" s="163"/>
      <c r="AE310" s="163"/>
      <c r="AF310" s="163"/>
      <c r="AG310" s="163"/>
    </row>
    <row r="311" spans="21:33" ht="19.899999999999999" customHeight="1">
      <c r="U311" s="163"/>
      <c r="V311" s="163"/>
      <c r="W311" s="163"/>
      <c r="X311" s="163"/>
      <c r="Y311" s="163"/>
      <c r="Z311" s="163"/>
      <c r="AA311" s="163"/>
      <c r="AB311" s="163"/>
      <c r="AC311" s="163"/>
      <c r="AD311" s="163"/>
      <c r="AE311" s="163"/>
      <c r="AF311" s="163"/>
      <c r="AG311" s="163"/>
    </row>
    <row r="312" spans="21:33" ht="19.899999999999999" customHeight="1">
      <c r="U312" s="163"/>
      <c r="V312" s="163"/>
      <c r="W312" s="163"/>
      <c r="X312" s="163"/>
      <c r="Y312" s="163"/>
      <c r="Z312" s="163"/>
      <c r="AA312" s="163"/>
      <c r="AB312" s="163"/>
      <c r="AC312" s="163"/>
      <c r="AD312" s="163"/>
      <c r="AE312" s="163"/>
      <c r="AF312" s="163"/>
      <c r="AG312" s="163"/>
    </row>
    <row r="313" spans="21:33" ht="19.899999999999999" customHeight="1">
      <c r="U313" s="163"/>
      <c r="V313" s="163"/>
      <c r="W313" s="163"/>
      <c r="X313" s="163"/>
      <c r="Y313" s="163"/>
      <c r="Z313" s="163"/>
      <c r="AA313" s="163"/>
      <c r="AB313" s="163"/>
      <c r="AC313" s="163"/>
      <c r="AD313" s="163"/>
      <c r="AE313" s="163"/>
      <c r="AF313" s="163"/>
      <c r="AG313" s="163"/>
    </row>
    <row r="314" spans="21:33" ht="19.899999999999999" customHeight="1">
      <c r="U314" s="163"/>
      <c r="V314" s="163"/>
      <c r="W314" s="163"/>
      <c r="X314" s="163"/>
      <c r="Y314" s="163"/>
      <c r="Z314" s="163"/>
      <c r="AA314" s="163"/>
      <c r="AB314" s="163"/>
      <c r="AC314" s="163"/>
      <c r="AD314" s="163"/>
      <c r="AE314" s="163"/>
      <c r="AF314" s="163"/>
      <c r="AG314" s="163"/>
    </row>
    <row r="315" spans="21:33" ht="19.899999999999999" customHeight="1">
      <c r="U315" s="163"/>
      <c r="V315" s="163"/>
      <c r="W315" s="163"/>
      <c r="X315" s="163"/>
      <c r="Y315" s="163"/>
      <c r="Z315" s="163"/>
      <c r="AA315" s="163"/>
      <c r="AB315" s="163"/>
      <c r="AC315" s="163"/>
      <c r="AD315" s="163"/>
      <c r="AE315" s="163"/>
      <c r="AF315" s="163"/>
      <c r="AG315" s="163"/>
    </row>
    <row r="316" spans="21:33" ht="19.899999999999999" customHeight="1">
      <c r="U316" s="163"/>
      <c r="V316" s="163"/>
      <c r="W316" s="163"/>
      <c r="X316" s="163"/>
      <c r="Y316" s="163"/>
      <c r="Z316" s="163"/>
      <c r="AA316" s="163"/>
      <c r="AB316" s="163"/>
      <c r="AC316" s="163"/>
      <c r="AD316" s="163"/>
      <c r="AE316" s="163"/>
      <c r="AF316" s="163"/>
      <c r="AG316" s="163"/>
    </row>
    <row r="317" spans="21:33" ht="19.899999999999999" customHeight="1">
      <c r="U317" s="163"/>
      <c r="V317" s="163"/>
      <c r="W317" s="163"/>
      <c r="X317" s="163"/>
      <c r="Y317" s="163"/>
      <c r="Z317" s="163"/>
      <c r="AA317" s="163"/>
      <c r="AB317" s="163"/>
      <c r="AC317" s="163"/>
      <c r="AD317" s="163"/>
      <c r="AE317" s="163"/>
      <c r="AF317" s="163"/>
      <c r="AG317" s="163"/>
    </row>
    <row r="318" spans="21:33" ht="19.899999999999999" customHeight="1">
      <c r="U318" s="163"/>
      <c r="V318" s="163"/>
      <c r="W318" s="163"/>
      <c r="X318" s="163"/>
      <c r="Y318" s="163"/>
      <c r="Z318" s="163"/>
      <c r="AA318" s="163"/>
      <c r="AB318" s="163"/>
      <c r="AC318" s="163"/>
      <c r="AD318" s="163"/>
      <c r="AE318" s="163"/>
      <c r="AF318" s="163"/>
      <c r="AG318" s="163"/>
    </row>
    <row r="319" spans="21:33" ht="19.899999999999999" customHeight="1">
      <c r="U319" s="163"/>
      <c r="V319" s="163"/>
      <c r="W319" s="163"/>
      <c r="X319" s="163"/>
      <c r="Y319" s="163"/>
      <c r="Z319" s="163"/>
      <c r="AA319" s="163"/>
      <c r="AB319" s="163"/>
      <c r="AC319" s="163"/>
      <c r="AD319" s="163"/>
      <c r="AE319" s="163"/>
      <c r="AF319" s="163"/>
      <c r="AG319" s="163"/>
    </row>
    <row r="320" spans="21:33" ht="19.899999999999999" customHeight="1">
      <c r="U320" s="163"/>
      <c r="V320" s="163"/>
      <c r="W320" s="163"/>
      <c r="X320" s="163"/>
      <c r="Y320" s="163"/>
      <c r="Z320" s="163"/>
      <c r="AA320" s="163"/>
      <c r="AB320" s="163"/>
      <c r="AC320" s="163"/>
      <c r="AD320" s="163"/>
      <c r="AE320" s="163"/>
      <c r="AF320" s="163"/>
      <c r="AG320" s="163"/>
    </row>
    <row r="321" spans="21:33" ht="19.899999999999999" customHeight="1">
      <c r="U321" s="163"/>
      <c r="V321" s="163"/>
      <c r="W321" s="163"/>
      <c r="X321" s="163"/>
      <c r="Y321" s="163"/>
      <c r="Z321" s="163"/>
      <c r="AA321" s="163"/>
      <c r="AB321" s="163"/>
      <c r="AC321" s="163"/>
      <c r="AD321" s="163"/>
      <c r="AE321" s="163"/>
      <c r="AF321" s="163"/>
      <c r="AG321" s="163"/>
    </row>
    <row r="322" spans="21:33" ht="19.899999999999999" customHeight="1">
      <c r="U322" s="163"/>
      <c r="V322" s="163"/>
      <c r="W322" s="163"/>
      <c r="X322" s="163"/>
      <c r="Y322" s="163"/>
      <c r="Z322" s="163"/>
      <c r="AA322" s="163"/>
      <c r="AB322" s="163"/>
      <c r="AC322" s="163"/>
      <c r="AD322" s="163"/>
      <c r="AE322" s="163"/>
      <c r="AF322" s="163"/>
      <c r="AG322" s="163"/>
    </row>
    <row r="323" spans="21:33" ht="19.899999999999999" customHeight="1">
      <c r="U323" s="163"/>
      <c r="V323" s="163"/>
      <c r="W323" s="163"/>
      <c r="X323" s="163"/>
      <c r="Y323" s="163"/>
      <c r="Z323" s="163"/>
      <c r="AA323" s="163"/>
      <c r="AB323" s="163"/>
      <c r="AC323" s="163"/>
      <c r="AD323" s="163"/>
      <c r="AE323" s="163"/>
      <c r="AF323" s="163"/>
      <c r="AG323" s="163"/>
    </row>
    <row r="324" spans="21:33" ht="19.899999999999999" customHeight="1">
      <c r="U324" s="163"/>
      <c r="V324" s="163"/>
      <c r="W324" s="163"/>
      <c r="X324" s="163"/>
      <c r="Y324" s="163"/>
      <c r="Z324" s="163"/>
      <c r="AA324" s="163"/>
      <c r="AB324" s="163"/>
      <c r="AC324" s="163"/>
      <c r="AD324" s="163"/>
      <c r="AE324" s="163"/>
      <c r="AF324" s="163"/>
      <c r="AG324" s="163"/>
    </row>
    <row r="325" spans="21:33" ht="19.899999999999999" customHeight="1">
      <c r="U325" s="163"/>
      <c r="V325" s="163"/>
      <c r="W325" s="163"/>
      <c r="X325" s="163"/>
      <c r="Y325" s="163"/>
      <c r="Z325" s="163"/>
      <c r="AA325" s="163"/>
      <c r="AB325" s="163"/>
      <c r="AC325" s="163"/>
      <c r="AD325" s="163"/>
      <c r="AE325" s="163"/>
      <c r="AF325" s="163"/>
      <c r="AG325" s="163"/>
    </row>
    <row r="326" spans="21:33" ht="19.899999999999999" customHeight="1">
      <c r="U326" s="163"/>
      <c r="V326" s="163"/>
      <c r="W326" s="163"/>
      <c r="X326" s="163"/>
      <c r="Y326" s="163"/>
      <c r="Z326" s="163"/>
      <c r="AA326" s="163"/>
      <c r="AB326" s="163"/>
      <c r="AC326" s="163"/>
      <c r="AD326" s="163"/>
      <c r="AE326" s="163"/>
      <c r="AF326" s="163"/>
      <c r="AG326" s="163"/>
    </row>
    <row r="327" spans="21:33" ht="19.899999999999999" customHeight="1">
      <c r="U327" s="163"/>
      <c r="V327" s="163"/>
      <c r="W327" s="163"/>
      <c r="X327" s="163"/>
      <c r="Y327" s="163"/>
      <c r="Z327" s="163"/>
      <c r="AA327" s="163"/>
      <c r="AB327" s="163"/>
      <c r="AC327" s="163"/>
      <c r="AD327" s="163"/>
      <c r="AE327" s="163"/>
      <c r="AF327" s="163"/>
      <c r="AG327" s="163"/>
    </row>
    <row r="328" spans="21:33" ht="19.899999999999999" customHeight="1">
      <c r="U328" s="163"/>
      <c r="V328" s="163"/>
      <c r="W328" s="163"/>
      <c r="X328" s="163"/>
      <c r="Y328" s="163"/>
      <c r="Z328" s="163"/>
      <c r="AA328" s="163"/>
      <c r="AB328" s="163"/>
      <c r="AC328" s="163"/>
      <c r="AD328" s="163"/>
      <c r="AE328" s="163"/>
      <c r="AF328" s="163"/>
      <c r="AG328" s="163"/>
    </row>
    <row r="329" spans="21:33" ht="19.899999999999999" customHeight="1">
      <c r="U329" s="163"/>
      <c r="V329" s="163"/>
      <c r="W329" s="163"/>
      <c r="X329" s="163"/>
      <c r="Y329" s="163"/>
      <c r="Z329" s="163"/>
      <c r="AA329" s="163"/>
      <c r="AB329" s="163"/>
      <c r="AC329" s="163"/>
      <c r="AD329" s="163"/>
      <c r="AE329" s="163"/>
      <c r="AF329" s="163"/>
      <c r="AG329" s="163"/>
    </row>
    <row r="330" spans="21:33" ht="19.899999999999999" customHeight="1">
      <c r="U330" s="163"/>
      <c r="V330" s="163"/>
      <c r="W330" s="163"/>
      <c r="X330" s="163"/>
      <c r="Y330" s="163"/>
      <c r="Z330" s="163"/>
      <c r="AA330" s="163"/>
      <c r="AB330" s="163"/>
      <c r="AC330" s="163"/>
      <c r="AD330" s="163"/>
      <c r="AE330" s="163"/>
      <c r="AF330" s="163"/>
      <c r="AG330" s="163"/>
    </row>
    <row r="331" spans="21:33" ht="19.899999999999999" customHeight="1">
      <c r="U331" s="163"/>
      <c r="V331" s="163"/>
      <c r="W331" s="163"/>
      <c r="X331" s="163"/>
      <c r="Y331" s="163"/>
      <c r="Z331" s="163"/>
      <c r="AA331" s="163"/>
      <c r="AB331" s="163"/>
      <c r="AC331" s="163"/>
      <c r="AD331" s="163"/>
      <c r="AE331" s="163"/>
      <c r="AF331" s="163"/>
      <c r="AG331" s="163"/>
    </row>
    <row r="332" spans="21:33" ht="19.899999999999999" customHeight="1">
      <c r="U332" s="163"/>
      <c r="V332" s="163"/>
      <c r="W332" s="163"/>
      <c r="X332" s="163"/>
      <c r="Y332" s="163"/>
      <c r="Z332" s="163"/>
      <c r="AA332" s="163"/>
      <c r="AB332" s="163"/>
      <c r="AC332" s="163"/>
      <c r="AD332" s="163"/>
      <c r="AE332" s="163"/>
      <c r="AF332" s="163"/>
      <c r="AG332" s="163"/>
    </row>
    <row r="333" spans="21:33" ht="19.899999999999999" customHeight="1">
      <c r="U333" s="163"/>
      <c r="V333" s="163"/>
      <c r="W333" s="163"/>
      <c r="X333" s="163"/>
      <c r="Y333" s="163"/>
      <c r="Z333" s="163"/>
      <c r="AA333" s="163"/>
      <c r="AB333" s="163"/>
      <c r="AC333" s="163"/>
      <c r="AD333" s="163"/>
      <c r="AE333" s="163"/>
      <c r="AF333" s="163"/>
      <c r="AG333" s="163"/>
    </row>
    <row r="334" spans="21:33" ht="19.899999999999999" customHeight="1">
      <c r="U334" s="163"/>
      <c r="V334" s="163"/>
      <c r="W334" s="163"/>
      <c r="X334" s="163"/>
      <c r="Y334" s="163"/>
      <c r="Z334" s="163"/>
      <c r="AA334" s="163"/>
      <c r="AB334" s="163"/>
      <c r="AC334" s="163"/>
      <c r="AD334" s="163"/>
      <c r="AE334" s="163"/>
      <c r="AF334" s="163"/>
      <c r="AG334" s="163"/>
    </row>
    <row r="335" spans="21:33" ht="19.899999999999999" customHeight="1">
      <c r="U335" s="163"/>
      <c r="V335" s="163"/>
      <c r="W335" s="163"/>
      <c r="X335" s="163"/>
      <c r="Y335" s="163"/>
      <c r="Z335" s="163"/>
      <c r="AA335" s="163"/>
      <c r="AB335" s="163"/>
      <c r="AC335" s="163"/>
      <c r="AD335" s="163"/>
      <c r="AE335" s="163"/>
      <c r="AF335" s="163"/>
      <c r="AG335" s="163"/>
    </row>
    <row r="336" spans="21:33" ht="19.899999999999999" customHeight="1">
      <c r="U336" s="163"/>
      <c r="V336" s="163"/>
      <c r="W336" s="163"/>
      <c r="X336" s="163"/>
      <c r="Y336" s="163"/>
      <c r="Z336" s="163"/>
      <c r="AA336" s="163"/>
      <c r="AB336" s="163"/>
      <c r="AC336" s="163"/>
      <c r="AD336" s="163"/>
      <c r="AE336" s="163"/>
      <c r="AF336" s="163"/>
      <c r="AG336" s="163"/>
    </row>
    <row r="337" spans="21:33" ht="19.899999999999999" customHeight="1">
      <c r="U337" s="163"/>
      <c r="V337" s="163"/>
      <c r="W337" s="163"/>
      <c r="X337" s="163"/>
      <c r="Y337" s="163"/>
      <c r="Z337" s="163"/>
      <c r="AA337" s="163"/>
      <c r="AB337" s="163"/>
      <c r="AC337" s="163"/>
      <c r="AD337" s="163"/>
      <c r="AE337" s="163"/>
      <c r="AF337" s="163"/>
      <c r="AG337" s="163"/>
    </row>
    <row r="338" spans="21:33" ht="19.899999999999999" customHeight="1">
      <c r="U338" s="163"/>
      <c r="V338" s="163"/>
      <c r="W338" s="163"/>
      <c r="X338" s="163"/>
      <c r="Y338" s="163"/>
      <c r="Z338" s="163"/>
      <c r="AA338" s="163"/>
      <c r="AB338" s="163"/>
      <c r="AC338" s="163"/>
      <c r="AD338" s="163"/>
      <c r="AE338" s="163"/>
      <c r="AF338" s="163"/>
      <c r="AG338" s="163"/>
    </row>
    <row r="339" spans="21:33" ht="19.899999999999999" customHeight="1">
      <c r="U339" s="163"/>
      <c r="V339" s="163"/>
      <c r="W339" s="163"/>
      <c r="X339" s="163"/>
      <c r="Y339" s="163"/>
      <c r="Z339" s="163"/>
      <c r="AA339" s="163"/>
      <c r="AB339" s="163"/>
      <c r="AC339" s="163"/>
      <c r="AD339" s="163"/>
      <c r="AE339" s="163"/>
      <c r="AF339" s="163"/>
      <c r="AG339" s="163"/>
    </row>
    <row r="340" spans="21:33" ht="19.899999999999999" customHeight="1">
      <c r="U340" s="163"/>
      <c r="V340" s="163"/>
      <c r="W340" s="163"/>
      <c r="X340" s="163"/>
      <c r="Y340" s="163"/>
      <c r="Z340" s="163"/>
      <c r="AA340" s="163"/>
      <c r="AB340" s="163"/>
      <c r="AC340" s="163"/>
      <c r="AD340" s="163"/>
      <c r="AE340" s="163"/>
      <c r="AF340" s="163"/>
      <c r="AG340" s="163"/>
    </row>
    <row r="341" spans="21:33" ht="19.899999999999999" customHeight="1">
      <c r="U341" s="163"/>
      <c r="V341" s="163"/>
      <c r="W341" s="163"/>
      <c r="X341" s="163"/>
      <c r="Y341" s="163"/>
      <c r="Z341" s="163"/>
      <c r="AA341" s="163"/>
      <c r="AB341" s="163"/>
      <c r="AC341" s="163"/>
      <c r="AD341" s="163"/>
      <c r="AE341" s="163"/>
      <c r="AF341" s="163"/>
      <c r="AG341" s="163"/>
    </row>
    <row r="342" spans="21:33" ht="19.899999999999999" customHeight="1">
      <c r="U342" s="163"/>
      <c r="V342" s="163"/>
      <c r="W342" s="163"/>
      <c r="X342" s="163"/>
      <c r="Y342" s="163"/>
      <c r="Z342" s="163"/>
      <c r="AA342" s="163"/>
      <c r="AB342" s="163"/>
      <c r="AC342" s="163"/>
      <c r="AD342" s="163"/>
      <c r="AE342" s="163"/>
      <c r="AF342" s="163"/>
      <c r="AG342" s="163"/>
    </row>
    <row r="343" spans="21:33" ht="19.899999999999999" customHeight="1">
      <c r="U343" s="163"/>
      <c r="V343" s="163"/>
      <c r="W343" s="163"/>
      <c r="X343" s="163"/>
      <c r="Y343" s="163"/>
      <c r="Z343" s="163"/>
      <c r="AA343" s="163"/>
      <c r="AB343" s="163"/>
      <c r="AC343" s="163"/>
      <c r="AD343" s="163"/>
      <c r="AE343" s="163"/>
      <c r="AF343" s="163"/>
      <c r="AG343" s="163"/>
    </row>
    <row r="344" spans="21:33" ht="19.899999999999999" customHeight="1">
      <c r="U344" s="163"/>
      <c r="V344" s="163"/>
      <c r="W344" s="163"/>
      <c r="X344" s="163"/>
      <c r="Y344" s="163"/>
      <c r="Z344" s="163"/>
      <c r="AA344" s="163"/>
      <c r="AB344" s="163"/>
      <c r="AC344" s="163"/>
      <c r="AD344" s="163"/>
      <c r="AE344" s="163"/>
      <c r="AF344" s="163"/>
      <c r="AG344" s="163"/>
    </row>
    <row r="345" spans="21:33" ht="19.899999999999999" customHeight="1">
      <c r="U345" s="163"/>
      <c r="V345" s="163"/>
      <c r="W345" s="163"/>
      <c r="X345" s="163"/>
      <c r="Y345" s="163"/>
      <c r="Z345" s="163"/>
      <c r="AA345" s="163"/>
      <c r="AB345" s="163"/>
      <c r="AC345" s="163"/>
      <c r="AD345" s="163"/>
      <c r="AE345" s="163"/>
      <c r="AF345" s="163"/>
      <c r="AG345" s="163"/>
    </row>
    <row r="346" spans="21:33" ht="19.899999999999999" customHeight="1">
      <c r="U346" s="163"/>
      <c r="V346" s="163"/>
      <c r="W346" s="163"/>
      <c r="X346" s="163"/>
      <c r="Y346" s="163"/>
      <c r="Z346" s="163"/>
      <c r="AA346" s="163"/>
      <c r="AB346" s="163"/>
      <c r="AC346" s="163"/>
      <c r="AD346" s="163"/>
      <c r="AE346" s="163"/>
      <c r="AF346" s="163"/>
      <c r="AG346" s="163"/>
    </row>
    <row r="347" spans="21:33" ht="19.899999999999999" customHeight="1">
      <c r="U347" s="163"/>
      <c r="V347" s="163"/>
      <c r="W347" s="163"/>
      <c r="X347" s="163"/>
      <c r="Y347" s="163"/>
      <c r="Z347" s="163"/>
      <c r="AA347" s="163"/>
      <c r="AB347" s="163"/>
      <c r="AC347" s="163"/>
      <c r="AD347" s="163"/>
      <c r="AE347" s="163"/>
      <c r="AF347" s="163"/>
      <c r="AG347" s="163"/>
    </row>
    <row r="348" spans="21:33" ht="19.899999999999999" customHeight="1">
      <c r="U348" s="163"/>
      <c r="V348" s="163"/>
      <c r="W348" s="163"/>
      <c r="X348" s="163"/>
      <c r="Y348" s="163"/>
      <c r="Z348" s="163"/>
      <c r="AA348" s="163"/>
      <c r="AB348" s="163"/>
      <c r="AC348" s="163"/>
      <c r="AD348" s="163"/>
      <c r="AE348" s="163"/>
      <c r="AF348" s="163"/>
      <c r="AG348" s="163"/>
    </row>
    <row r="349" spans="21:33" ht="19.899999999999999" customHeight="1">
      <c r="U349" s="163"/>
      <c r="V349" s="163"/>
      <c r="W349" s="163"/>
      <c r="X349" s="163"/>
      <c r="Y349" s="163"/>
      <c r="Z349" s="163"/>
      <c r="AA349" s="163"/>
      <c r="AB349" s="163"/>
      <c r="AC349" s="163"/>
      <c r="AD349" s="163"/>
      <c r="AE349" s="163"/>
      <c r="AF349" s="163"/>
      <c r="AG349" s="163"/>
    </row>
    <row r="350" spans="21:33" ht="19.899999999999999" customHeight="1">
      <c r="U350" s="163"/>
      <c r="V350" s="163"/>
      <c r="W350" s="163"/>
      <c r="X350" s="163"/>
      <c r="Y350" s="163"/>
      <c r="Z350" s="163"/>
      <c r="AA350" s="163"/>
      <c r="AB350" s="163"/>
      <c r="AC350" s="163"/>
      <c r="AD350" s="163"/>
      <c r="AE350" s="163"/>
      <c r="AF350" s="163"/>
      <c r="AG350" s="163"/>
    </row>
    <row r="351" spans="21:33" ht="19.899999999999999" customHeight="1">
      <c r="U351" s="163"/>
      <c r="V351" s="163"/>
      <c r="W351" s="163"/>
      <c r="X351" s="163"/>
      <c r="Y351" s="163"/>
      <c r="Z351" s="163"/>
      <c r="AA351" s="163"/>
      <c r="AB351" s="163"/>
      <c r="AC351" s="163"/>
      <c r="AD351" s="163"/>
      <c r="AE351" s="163"/>
      <c r="AF351" s="163"/>
      <c r="AG351" s="163"/>
    </row>
    <row r="352" spans="21:33" ht="19.899999999999999" customHeight="1">
      <c r="U352" s="163"/>
      <c r="V352" s="163"/>
      <c r="W352" s="163"/>
      <c r="X352" s="163"/>
      <c r="Y352" s="163"/>
      <c r="Z352" s="163"/>
      <c r="AA352" s="163"/>
      <c r="AB352" s="163"/>
      <c r="AC352" s="163"/>
      <c r="AD352" s="163"/>
      <c r="AE352" s="163"/>
      <c r="AF352" s="163"/>
      <c r="AG352" s="163"/>
    </row>
    <row r="353" spans="21:33" ht="19.899999999999999" customHeight="1">
      <c r="U353" s="163"/>
      <c r="V353" s="163"/>
      <c r="W353" s="163"/>
      <c r="X353" s="163"/>
      <c r="Y353" s="163"/>
      <c r="Z353" s="163"/>
      <c r="AA353" s="163"/>
      <c r="AB353" s="163"/>
      <c r="AC353" s="163"/>
      <c r="AD353" s="163"/>
      <c r="AE353" s="163"/>
      <c r="AF353" s="163"/>
      <c r="AG353" s="163"/>
    </row>
    <row r="354" spans="21:33" ht="19.899999999999999" customHeight="1">
      <c r="U354" s="163"/>
      <c r="V354" s="163"/>
      <c r="W354" s="163"/>
      <c r="X354" s="163"/>
      <c r="Y354" s="163"/>
      <c r="Z354" s="163"/>
      <c r="AA354" s="163"/>
      <c r="AB354" s="163"/>
      <c r="AC354" s="163"/>
      <c r="AD354" s="163"/>
      <c r="AE354" s="163"/>
      <c r="AF354" s="163"/>
      <c r="AG354" s="163"/>
    </row>
    <row r="355" spans="21:33" ht="19.899999999999999" customHeight="1">
      <c r="U355" s="163"/>
      <c r="V355" s="163"/>
      <c r="W355" s="163"/>
      <c r="X355" s="163"/>
      <c r="Y355" s="163"/>
      <c r="Z355" s="163"/>
      <c r="AA355" s="163"/>
      <c r="AB355" s="163"/>
      <c r="AC355" s="163"/>
      <c r="AD355" s="163"/>
      <c r="AE355" s="163"/>
      <c r="AF355" s="163"/>
      <c r="AG355" s="163"/>
    </row>
    <row r="356" spans="21:33" ht="19.899999999999999" customHeight="1">
      <c r="U356" s="163"/>
      <c r="V356" s="163"/>
      <c r="W356" s="163"/>
      <c r="X356" s="163"/>
      <c r="Y356" s="163"/>
      <c r="Z356" s="163"/>
      <c r="AA356" s="163"/>
      <c r="AB356" s="163"/>
      <c r="AC356" s="163"/>
      <c r="AD356" s="163"/>
      <c r="AE356" s="163"/>
      <c r="AF356" s="163"/>
      <c r="AG356" s="163"/>
    </row>
    <row r="357" spans="21:33" ht="19.899999999999999" customHeight="1">
      <c r="U357" s="163"/>
      <c r="V357" s="163"/>
      <c r="W357" s="163"/>
      <c r="X357" s="163"/>
      <c r="Y357" s="163"/>
      <c r="Z357" s="163"/>
      <c r="AA357" s="163"/>
      <c r="AB357" s="163"/>
      <c r="AC357" s="163"/>
      <c r="AD357" s="163"/>
      <c r="AE357" s="163"/>
      <c r="AF357" s="163"/>
      <c r="AG357" s="163"/>
    </row>
    <row r="358" spans="21:33" ht="19.899999999999999" customHeight="1">
      <c r="U358" s="163"/>
      <c r="V358" s="163"/>
      <c r="W358" s="163"/>
      <c r="X358" s="163"/>
      <c r="Y358" s="163"/>
      <c r="Z358" s="163"/>
      <c r="AA358" s="163"/>
      <c r="AB358" s="163"/>
      <c r="AC358" s="163"/>
      <c r="AD358" s="163"/>
      <c r="AE358" s="163"/>
      <c r="AF358" s="163"/>
      <c r="AG358" s="163"/>
    </row>
    <row r="359" spans="21:33" ht="19.899999999999999" customHeight="1">
      <c r="U359" s="163"/>
      <c r="V359" s="163"/>
      <c r="W359" s="163"/>
      <c r="X359" s="163"/>
      <c r="Y359" s="163"/>
      <c r="Z359" s="163"/>
      <c r="AA359" s="163"/>
      <c r="AB359" s="163"/>
      <c r="AC359" s="163"/>
      <c r="AD359" s="163"/>
      <c r="AE359" s="163"/>
      <c r="AF359" s="163"/>
      <c r="AG359" s="163"/>
    </row>
    <row r="360" spans="21:33" ht="19.899999999999999" customHeight="1">
      <c r="U360" s="163"/>
      <c r="V360" s="163"/>
      <c r="W360" s="163"/>
      <c r="X360" s="163"/>
      <c r="Y360" s="163"/>
      <c r="Z360" s="163"/>
      <c r="AA360" s="163"/>
      <c r="AB360" s="163"/>
      <c r="AC360" s="163"/>
      <c r="AD360" s="163"/>
      <c r="AE360" s="163"/>
      <c r="AF360" s="163"/>
      <c r="AG360" s="163"/>
    </row>
    <row r="361" spans="21:33" ht="19.899999999999999" customHeight="1">
      <c r="U361" s="163"/>
      <c r="V361" s="163"/>
      <c r="W361" s="163"/>
      <c r="X361" s="163"/>
      <c r="Y361" s="163"/>
      <c r="Z361" s="163"/>
      <c r="AA361" s="163"/>
      <c r="AB361" s="163"/>
      <c r="AC361" s="163"/>
      <c r="AD361" s="163"/>
      <c r="AE361" s="163"/>
      <c r="AF361" s="163"/>
      <c r="AG361" s="163"/>
    </row>
    <row r="362" spans="21:33" ht="19.899999999999999" customHeight="1">
      <c r="U362" s="163"/>
      <c r="V362" s="163"/>
      <c r="W362" s="163"/>
      <c r="X362" s="163"/>
      <c r="Y362" s="163"/>
      <c r="Z362" s="163"/>
      <c r="AA362" s="163"/>
      <c r="AB362" s="163"/>
      <c r="AC362" s="163"/>
      <c r="AD362" s="163"/>
      <c r="AE362" s="163"/>
      <c r="AF362" s="163"/>
      <c r="AG362" s="163"/>
    </row>
    <row r="363" spans="21:33" ht="19.899999999999999" customHeight="1">
      <c r="U363" s="163"/>
      <c r="V363" s="163"/>
      <c r="W363" s="163"/>
      <c r="X363" s="163"/>
      <c r="Y363" s="163"/>
      <c r="Z363" s="163"/>
      <c r="AA363" s="163"/>
      <c r="AB363" s="163"/>
      <c r="AC363" s="163"/>
      <c r="AD363" s="163"/>
      <c r="AE363" s="163"/>
      <c r="AF363" s="163"/>
      <c r="AG363" s="163"/>
    </row>
    <row r="364" spans="21:33" ht="19.899999999999999" customHeight="1">
      <c r="U364" s="163"/>
      <c r="V364" s="163"/>
      <c r="W364" s="163"/>
      <c r="X364" s="163"/>
      <c r="Y364" s="163"/>
      <c r="Z364" s="163"/>
      <c r="AA364" s="163"/>
      <c r="AB364" s="163"/>
      <c r="AC364" s="163"/>
      <c r="AD364" s="163"/>
      <c r="AE364" s="163"/>
      <c r="AF364" s="163"/>
      <c r="AG364" s="163"/>
    </row>
    <row r="365" spans="21:33" ht="19.899999999999999" customHeight="1">
      <c r="U365" s="163"/>
      <c r="V365" s="163"/>
      <c r="W365" s="163"/>
      <c r="X365" s="163"/>
      <c r="Y365" s="163"/>
      <c r="Z365" s="163"/>
      <c r="AA365" s="163"/>
      <c r="AB365" s="163"/>
      <c r="AC365" s="163"/>
      <c r="AD365" s="163"/>
      <c r="AE365" s="163"/>
      <c r="AF365" s="163"/>
      <c r="AG365" s="163"/>
    </row>
    <row r="366" spans="21:33" ht="19.899999999999999" customHeight="1">
      <c r="U366" s="163"/>
      <c r="V366" s="163"/>
      <c r="W366" s="163"/>
      <c r="X366" s="163"/>
      <c r="Y366" s="163"/>
      <c r="Z366" s="163"/>
      <c r="AA366" s="163"/>
      <c r="AB366" s="163"/>
      <c r="AC366" s="163"/>
      <c r="AD366" s="163"/>
      <c r="AE366" s="163"/>
      <c r="AF366" s="163"/>
      <c r="AG366" s="163"/>
    </row>
    <row r="367" spans="21:33" ht="19.899999999999999" customHeight="1">
      <c r="U367" s="163"/>
      <c r="V367" s="163"/>
      <c r="W367" s="163"/>
      <c r="X367" s="163"/>
      <c r="Y367" s="163"/>
      <c r="Z367" s="163"/>
      <c r="AA367" s="163"/>
      <c r="AB367" s="163"/>
      <c r="AC367" s="163"/>
      <c r="AD367" s="163"/>
      <c r="AE367" s="163"/>
      <c r="AF367" s="163"/>
      <c r="AG367" s="163"/>
    </row>
    <row r="368" spans="21:33" ht="19.899999999999999" customHeight="1">
      <c r="U368" s="163"/>
      <c r="V368" s="163"/>
      <c r="W368" s="163"/>
      <c r="X368" s="163"/>
      <c r="Y368" s="163"/>
      <c r="Z368" s="163"/>
      <c r="AA368" s="163"/>
      <c r="AB368" s="163"/>
      <c r="AC368" s="163"/>
      <c r="AD368" s="163"/>
      <c r="AE368" s="163"/>
      <c r="AF368" s="163"/>
      <c r="AG368" s="163"/>
    </row>
    <row r="369" spans="21:33" ht="19.899999999999999" customHeight="1">
      <c r="U369" s="163"/>
      <c r="V369" s="163"/>
      <c r="W369" s="163"/>
      <c r="X369" s="163"/>
      <c r="Y369" s="163"/>
      <c r="Z369" s="163"/>
      <c r="AA369" s="163"/>
      <c r="AB369" s="163"/>
      <c r="AC369" s="163"/>
      <c r="AD369" s="163"/>
      <c r="AE369" s="163"/>
      <c r="AF369" s="163"/>
      <c r="AG369" s="163"/>
    </row>
    <row r="370" spans="21:33" ht="19.899999999999999" customHeight="1">
      <c r="U370" s="163"/>
      <c r="V370" s="163"/>
      <c r="W370" s="163"/>
      <c r="X370" s="163"/>
      <c r="Y370" s="163"/>
      <c r="Z370" s="163"/>
      <c r="AA370" s="163"/>
      <c r="AB370" s="163"/>
      <c r="AC370" s="163"/>
      <c r="AD370" s="163"/>
      <c r="AE370" s="163"/>
      <c r="AF370" s="163"/>
      <c r="AG370" s="163"/>
    </row>
    <row r="371" spans="21:33" ht="19.899999999999999" customHeight="1">
      <c r="U371" s="163"/>
      <c r="V371" s="163"/>
      <c r="W371" s="163"/>
      <c r="X371" s="163"/>
      <c r="Y371" s="163"/>
      <c r="Z371" s="163"/>
      <c r="AA371" s="163"/>
      <c r="AB371" s="163"/>
      <c r="AC371" s="163"/>
      <c r="AD371" s="163"/>
      <c r="AE371" s="163"/>
      <c r="AF371" s="163"/>
      <c r="AG371" s="163"/>
    </row>
    <row r="372" spans="21:33" ht="19.899999999999999" customHeight="1">
      <c r="U372" s="163"/>
      <c r="V372" s="163"/>
      <c r="W372" s="163"/>
      <c r="X372" s="163"/>
      <c r="Y372" s="163"/>
      <c r="Z372" s="163"/>
      <c r="AA372" s="163"/>
      <c r="AB372" s="163"/>
      <c r="AC372" s="163"/>
      <c r="AD372" s="163"/>
      <c r="AE372" s="163"/>
      <c r="AF372" s="163"/>
      <c r="AG372" s="163"/>
    </row>
    <row r="373" spans="21:33" ht="19.899999999999999" customHeight="1">
      <c r="U373" s="163"/>
      <c r="V373" s="163"/>
      <c r="W373" s="163"/>
      <c r="X373" s="163"/>
      <c r="Y373" s="163"/>
      <c r="Z373" s="163"/>
      <c r="AA373" s="163"/>
      <c r="AB373" s="163"/>
      <c r="AC373" s="163"/>
      <c r="AD373" s="163"/>
      <c r="AE373" s="163"/>
      <c r="AF373" s="163"/>
      <c r="AG373" s="163"/>
    </row>
    <row r="374" spans="21:33" ht="19.899999999999999" customHeight="1">
      <c r="U374" s="163"/>
      <c r="V374" s="163"/>
      <c r="W374" s="163"/>
      <c r="X374" s="163"/>
      <c r="Y374" s="163"/>
      <c r="Z374" s="163"/>
      <c r="AA374" s="163"/>
      <c r="AB374" s="163"/>
      <c r="AC374" s="163"/>
      <c r="AD374" s="163"/>
      <c r="AE374" s="163"/>
      <c r="AF374" s="163"/>
      <c r="AG374" s="163"/>
    </row>
    <row r="375" spans="21:33" ht="19.899999999999999" customHeight="1">
      <c r="U375" s="163"/>
      <c r="V375" s="163"/>
      <c r="W375" s="163"/>
      <c r="X375" s="163"/>
      <c r="Y375" s="163"/>
      <c r="Z375" s="163"/>
      <c r="AA375" s="163"/>
      <c r="AB375" s="163"/>
      <c r="AC375" s="163"/>
      <c r="AD375" s="163"/>
      <c r="AE375" s="163"/>
      <c r="AF375" s="163"/>
      <c r="AG375" s="163"/>
    </row>
    <row r="376" spans="21:33" ht="19.899999999999999" customHeight="1">
      <c r="U376" s="163"/>
      <c r="V376" s="163"/>
      <c r="W376" s="163"/>
      <c r="X376" s="163"/>
      <c r="Y376" s="163"/>
      <c r="Z376" s="163"/>
      <c r="AA376" s="163"/>
      <c r="AB376" s="163"/>
      <c r="AC376" s="163"/>
      <c r="AD376" s="163"/>
      <c r="AE376" s="163"/>
      <c r="AF376" s="163"/>
      <c r="AG376" s="163"/>
    </row>
    <row r="377" spans="21:33" ht="19.899999999999999" customHeight="1">
      <c r="U377" s="163"/>
      <c r="V377" s="163"/>
      <c r="W377" s="163"/>
      <c r="X377" s="163"/>
      <c r="Y377" s="163"/>
      <c r="Z377" s="163"/>
      <c r="AA377" s="163"/>
      <c r="AB377" s="163"/>
      <c r="AC377" s="163"/>
      <c r="AD377" s="163"/>
      <c r="AE377" s="163"/>
      <c r="AF377" s="163"/>
      <c r="AG377" s="163"/>
    </row>
    <row r="378" spans="21:33" ht="19.899999999999999" customHeight="1">
      <c r="U378" s="163"/>
      <c r="V378" s="163"/>
      <c r="W378" s="163"/>
      <c r="X378" s="163"/>
      <c r="Y378" s="163"/>
      <c r="Z378" s="163"/>
      <c r="AA378" s="163"/>
      <c r="AB378" s="163"/>
      <c r="AC378" s="163"/>
      <c r="AD378" s="163"/>
      <c r="AE378" s="163"/>
      <c r="AF378" s="163"/>
      <c r="AG378" s="163"/>
    </row>
    <row r="379" spans="21:33" ht="19.899999999999999" customHeight="1">
      <c r="U379" s="163"/>
      <c r="V379" s="163"/>
      <c r="W379" s="163"/>
      <c r="X379" s="163"/>
      <c r="Y379" s="163"/>
      <c r="Z379" s="163"/>
      <c r="AA379" s="163"/>
      <c r="AB379" s="163"/>
      <c r="AC379" s="163"/>
      <c r="AD379" s="163"/>
      <c r="AE379" s="163"/>
      <c r="AF379" s="163"/>
      <c r="AG379" s="163"/>
    </row>
    <row r="380" spans="21:33" ht="19.899999999999999" customHeight="1">
      <c r="U380" s="163"/>
      <c r="V380" s="163"/>
      <c r="W380" s="163"/>
      <c r="X380" s="163"/>
      <c r="Y380" s="163"/>
      <c r="Z380" s="163"/>
      <c r="AA380" s="163"/>
      <c r="AB380" s="163"/>
      <c r="AC380" s="163"/>
      <c r="AD380" s="163"/>
      <c r="AE380" s="163"/>
      <c r="AF380" s="163"/>
      <c r="AG380" s="163"/>
    </row>
    <row r="381" spans="21:33" ht="19.899999999999999" customHeight="1">
      <c r="U381" s="163"/>
      <c r="V381" s="163"/>
      <c r="W381" s="163"/>
      <c r="X381" s="163"/>
      <c r="Y381" s="163"/>
      <c r="Z381" s="163"/>
      <c r="AA381" s="163"/>
      <c r="AB381" s="163"/>
      <c r="AC381" s="163"/>
      <c r="AD381" s="163"/>
      <c r="AE381" s="163"/>
      <c r="AF381" s="163"/>
      <c r="AG381" s="163"/>
    </row>
    <row r="382" spans="21:33" ht="19.899999999999999" customHeight="1">
      <c r="U382" s="163"/>
      <c r="V382" s="163"/>
      <c r="W382" s="163"/>
      <c r="X382" s="163"/>
      <c r="Y382" s="163"/>
      <c r="Z382" s="163"/>
      <c r="AA382" s="163"/>
      <c r="AB382" s="163"/>
      <c r="AC382" s="163"/>
      <c r="AD382" s="163"/>
      <c r="AE382" s="163"/>
      <c r="AF382" s="163"/>
      <c r="AG382" s="163"/>
    </row>
    <row r="383" spans="21:33" ht="19.899999999999999" customHeight="1">
      <c r="U383" s="163"/>
      <c r="V383" s="163"/>
      <c r="W383" s="163"/>
      <c r="X383" s="163"/>
      <c r="Y383" s="163"/>
      <c r="Z383" s="163"/>
      <c r="AA383" s="163"/>
      <c r="AB383" s="163"/>
      <c r="AC383" s="163"/>
      <c r="AD383" s="163"/>
      <c r="AE383" s="163"/>
      <c r="AF383" s="163"/>
      <c r="AG383" s="163"/>
    </row>
    <row r="384" spans="21:33" ht="19.899999999999999" customHeight="1">
      <c r="U384" s="163"/>
      <c r="V384" s="163"/>
      <c r="W384" s="163"/>
      <c r="X384" s="163"/>
      <c r="Y384" s="163"/>
      <c r="Z384" s="163"/>
      <c r="AA384" s="163"/>
      <c r="AB384" s="163"/>
      <c r="AC384" s="163"/>
      <c r="AD384" s="163"/>
      <c r="AE384" s="163"/>
      <c r="AF384" s="163"/>
      <c r="AG384" s="163"/>
    </row>
    <row r="385" spans="21:33" ht="19.899999999999999" customHeight="1">
      <c r="U385" s="163"/>
      <c r="V385" s="163"/>
      <c r="W385" s="163"/>
      <c r="X385" s="163"/>
      <c r="Y385" s="163"/>
      <c r="Z385" s="163"/>
      <c r="AA385" s="163"/>
      <c r="AB385" s="163"/>
      <c r="AC385" s="163"/>
      <c r="AD385" s="163"/>
      <c r="AE385" s="163"/>
      <c r="AF385" s="163"/>
      <c r="AG385" s="163"/>
    </row>
    <row r="386" spans="21:33" ht="19.899999999999999" customHeight="1">
      <c r="U386" s="163"/>
      <c r="V386" s="163"/>
      <c r="W386" s="163"/>
      <c r="X386" s="163"/>
      <c r="Y386" s="163"/>
      <c r="Z386" s="163"/>
      <c r="AA386" s="163"/>
      <c r="AB386" s="163"/>
      <c r="AC386" s="163"/>
      <c r="AD386" s="163"/>
      <c r="AE386" s="163"/>
      <c r="AF386" s="163"/>
      <c r="AG386" s="163"/>
    </row>
    <row r="387" spans="21:33" ht="19.899999999999999" customHeight="1">
      <c r="U387" s="163"/>
      <c r="V387" s="163"/>
      <c r="W387" s="163"/>
      <c r="X387" s="163"/>
      <c r="Y387" s="163"/>
      <c r="Z387" s="163"/>
      <c r="AA387" s="163"/>
      <c r="AB387" s="163"/>
      <c r="AC387" s="163"/>
      <c r="AD387" s="163"/>
      <c r="AE387" s="163"/>
      <c r="AF387" s="163"/>
      <c r="AG387" s="163"/>
    </row>
    <row r="388" spans="21:33" ht="19.899999999999999" customHeight="1">
      <c r="U388" s="163"/>
      <c r="V388" s="163"/>
      <c r="W388" s="163"/>
      <c r="X388" s="163"/>
      <c r="Y388" s="163"/>
      <c r="Z388" s="163"/>
      <c r="AA388" s="163"/>
      <c r="AB388" s="163"/>
      <c r="AC388" s="163"/>
      <c r="AD388" s="163"/>
      <c r="AE388" s="163"/>
      <c r="AF388" s="163"/>
      <c r="AG388" s="163"/>
    </row>
    <row r="389" spans="21:33" ht="19.899999999999999" customHeight="1">
      <c r="U389" s="163"/>
      <c r="V389" s="163"/>
      <c r="W389" s="163"/>
      <c r="X389" s="163"/>
      <c r="Y389" s="163"/>
      <c r="Z389" s="163"/>
      <c r="AA389" s="163"/>
      <c r="AB389" s="163"/>
      <c r="AC389" s="163"/>
      <c r="AD389" s="163"/>
      <c r="AE389" s="163"/>
      <c r="AF389" s="163"/>
      <c r="AG389" s="163"/>
    </row>
    <row r="390" spans="21:33" ht="19.899999999999999" customHeight="1">
      <c r="U390" s="163"/>
      <c r="V390" s="163"/>
      <c r="W390" s="163"/>
      <c r="X390" s="163"/>
      <c r="Y390" s="163"/>
      <c r="Z390" s="163"/>
      <c r="AA390" s="163"/>
      <c r="AB390" s="163"/>
      <c r="AC390" s="163"/>
      <c r="AD390" s="163"/>
      <c r="AE390" s="163"/>
      <c r="AF390" s="163"/>
      <c r="AG390" s="163"/>
    </row>
    <row r="391" spans="21:33" ht="19.899999999999999" customHeight="1">
      <c r="U391" s="163"/>
      <c r="V391" s="163"/>
      <c r="W391" s="163"/>
      <c r="X391" s="163"/>
      <c r="Y391" s="163"/>
      <c r="Z391" s="163"/>
      <c r="AA391" s="163"/>
      <c r="AB391" s="163"/>
      <c r="AC391" s="163"/>
      <c r="AD391" s="163"/>
      <c r="AE391" s="163"/>
      <c r="AF391" s="163"/>
      <c r="AG391" s="163"/>
    </row>
    <row r="392" spans="21:33" ht="19.899999999999999" customHeight="1">
      <c r="U392" s="163"/>
      <c r="V392" s="163"/>
      <c r="W392" s="163"/>
      <c r="X392" s="163"/>
      <c r="Y392" s="163"/>
      <c r="Z392" s="163"/>
      <c r="AA392" s="163"/>
      <c r="AB392" s="163"/>
      <c r="AC392" s="163"/>
      <c r="AD392" s="163"/>
      <c r="AE392" s="163"/>
      <c r="AF392" s="163"/>
      <c r="AG392" s="163"/>
    </row>
    <row r="393" spans="21:33" ht="19.899999999999999" customHeight="1">
      <c r="U393" s="163"/>
      <c r="V393" s="163"/>
      <c r="W393" s="163"/>
      <c r="X393" s="163"/>
      <c r="Y393" s="163"/>
      <c r="Z393" s="163"/>
      <c r="AA393" s="163"/>
      <c r="AB393" s="163"/>
      <c r="AC393" s="163"/>
      <c r="AD393" s="163"/>
      <c r="AE393" s="163"/>
      <c r="AF393" s="163"/>
      <c r="AG393" s="163"/>
    </row>
    <row r="394" spans="21:33" ht="19.899999999999999" customHeight="1">
      <c r="U394" s="163"/>
      <c r="V394" s="163"/>
      <c r="W394" s="163"/>
      <c r="X394" s="163"/>
      <c r="Y394" s="163"/>
      <c r="Z394" s="163"/>
      <c r="AA394" s="163"/>
      <c r="AB394" s="163"/>
      <c r="AC394" s="163"/>
      <c r="AD394" s="163"/>
      <c r="AE394" s="163"/>
      <c r="AF394" s="163"/>
      <c r="AG394" s="163"/>
    </row>
    <row r="395" spans="21:33" ht="19.899999999999999" customHeight="1">
      <c r="U395" s="163"/>
      <c r="V395" s="163"/>
      <c r="W395" s="163"/>
      <c r="X395" s="163"/>
      <c r="Y395" s="163"/>
      <c r="Z395" s="163"/>
      <c r="AA395" s="163"/>
      <c r="AB395" s="163"/>
      <c r="AC395" s="163"/>
      <c r="AD395" s="163"/>
      <c r="AE395" s="163"/>
      <c r="AF395" s="163"/>
      <c r="AG395" s="163"/>
    </row>
    <row r="396" spans="21:33" ht="19.899999999999999" customHeight="1">
      <c r="U396" s="163"/>
      <c r="V396" s="163"/>
      <c r="W396" s="163"/>
      <c r="X396" s="163"/>
      <c r="Y396" s="163"/>
      <c r="Z396" s="163"/>
      <c r="AA396" s="163"/>
      <c r="AB396" s="163"/>
      <c r="AC396" s="163"/>
      <c r="AD396" s="163"/>
      <c r="AE396" s="163"/>
      <c r="AF396" s="163"/>
      <c r="AG396" s="163"/>
    </row>
    <row r="397" spans="21:33" ht="19.899999999999999" customHeight="1">
      <c r="U397" s="163"/>
      <c r="V397" s="163"/>
      <c r="W397" s="163"/>
      <c r="X397" s="163"/>
      <c r="Y397" s="163"/>
      <c r="Z397" s="163"/>
      <c r="AA397" s="163"/>
      <c r="AB397" s="163"/>
      <c r="AC397" s="163"/>
      <c r="AD397" s="163"/>
      <c r="AE397" s="163"/>
      <c r="AF397" s="163"/>
      <c r="AG397" s="163"/>
    </row>
    <row r="398" spans="21:33" ht="19.899999999999999" customHeight="1">
      <c r="U398" s="163"/>
      <c r="V398" s="163"/>
      <c r="W398" s="163"/>
      <c r="X398" s="163"/>
      <c r="Y398" s="163"/>
      <c r="Z398" s="163"/>
      <c r="AA398" s="163"/>
      <c r="AB398" s="163"/>
      <c r="AC398" s="163"/>
      <c r="AD398" s="163"/>
      <c r="AE398" s="163"/>
      <c r="AF398" s="163"/>
      <c r="AG398" s="163"/>
    </row>
    <row r="399" spans="21:33" ht="19.899999999999999" customHeight="1">
      <c r="U399" s="163"/>
      <c r="V399" s="163"/>
      <c r="W399" s="163"/>
      <c r="X399" s="163"/>
      <c r="Y399" s="163"/>
      <c r="Z399" s="163"/>
      <c r="AA399" s="163"/>
      <c r="AB399" s="163"/>
      <c r="AC399" s="163"/>
      <c r="AD399" s="163"/>
      <c r="AE399" s="163"/>
      <c r="AF399" s="163"/>
      <c r="AG399" s="163"/>
    </row>
    <row r="400" spans="21:33" ht="19.899999999999999" customHeight="1">
      <c r="U400" s="163"/>
      <c r="V400" s="163"/>
      <c r="W400" s="163"/>
      <c r="X400" s="163"/>
      <c r="Y400" s="163"/>
      <c r="Z400" s="163"/>
      <c r="AA400" s="163"/>
      <c r="AB400" s="163"/>
      <c r="AC400" s="163"/>
      <c r="AD400" s="163"/>
      <c r="AE400" s="163"/>
      <c r="AF400" s="163"/>
      <c r="AG400" s="163"/>
    </row>
    <row r="401" spans="21:33" ht="19.899999999999999" customHeight="1">
      <c r="U401" s="163"/>
      <c r="V401" s="163"/>
      <c r="W401" s="163"/>
      <c r="X401" s="163"/>
      <c r="Y401" s="163"/>
      <c r="Z401" s="163"/>
      <c r="AA401" s="163"/>
      <c r="AB401" s="163"/>
      <c r="AC401" s="163"/>
      <c r="AD401" s="163"/>
      <c r="AE401" s="163"/>
      <c r="AF401" s="163"/>
      <c r="AG401" s="163"/>
    </row>
    <row r="402" spans="21:33" ht="19.899999999999999" customHeight="1">
      <c r="U402" s="163"/>
      <c r="V402" s="163"/>
      <c r="W402" s="163"/>
      <c r="X402" s="163"/>
      <c r="Y402" s="163"/>
      <c r="Z402" s="163"/>
      <c r="AA402" s="163"/>
      <c r="AB402" s="163"/>
      <c r="AC402" s="163"/>
      <c r="AD402" s="163"/>
      <c r="AE402" s="163"/>
      <c r="AF402" s="163"/>
      <c r="AG402" s="163"/>
    </row>
    <row r="403" spans="21:33" ht="19.899999999999999" customHeight="1">
      <c r="U403" s="163"/>
      <c r="V403" s="163"/>
      <c r="W403" s="163"/>
      <c r="X403" s="163"/>
      <c r="Y403" s="163"/>
      <c r="Z403" s="163"/>
      <c r="AA403" s="163"/>
      <c r="AB403" s="163"/>
      <c r="AC403" s="163"/>
      <c r="AD403" s="163"/>
      <c r="AE403" s="163"/>
      <c r="AF403" s="163"/>
      <c r="AG403" s="163"/>
    </row>
    <row r="404" spans="21:33" ht="19.899999999999999" customHeight="1">
      <c r="U404" s="163"/>
      <c r="V404" s="163"/>
      <c r="W404" s="163"/>
      <c r="X404" s="163"/>
      <c r="Y404" s="163"/>
      <c r="Z404" s="163"/>
      <c r="AA404" s="163"/>
      <c r="AB404" s="163"/>
      <c r="AC404" s="163"/>
      <c r="AD404" s="163"/>
      <c r="AE404" s="163"/>
      <c r="AF404" s="163"/>
      <c r="AG404" s="163"/>
    </row>
    <row r="405" spans="21:33" ht="19.899999999999999" customHeight="1">
      <c r="U405" s="163"/>
      <c r="V405" s="163"/>
      <c r="W405" s="163"/>
      <c r="X405" s="163"/>
      <c r="Y405" s="163"/>
      <c r="Z405" s="163"/>
      <c r="AA405" s="163"/>
      <c r="AB405" s="163"/>
      <c r="AC405" s="163"/>
      <c r="AD405" s="163"/>
      <c r="AE405" s="163"/>
      <c r="AF405" s="163"/>
      <c r="AG405" s="163"/>
    </row>
    <row r="406" spans="21:33" ht="19.899999999999999" customHeight="1">
      <c r="U406" s="163"/>
      <c r="V406" s="163"/>
      <c r="W406" s="163"/>
      <c r="X406" s="163"/>
      <c r="Y406" s="163"/>
      <c r="Z406" s="163"/>
      <c r="AA406" s="163"/>
      <c r="AB406" s="163"/>
      <c r="AC406" s="163"/>
      <c r="AD406" s="163"/>
      <c r="AE406" s="163"/>
      <c r="AF406" s="163"/>
      <c r="AG406" s="163"/>
    </row>
    <row r="407" spans="21:33" ht="19.899999999999999" customHeight="1">
      <c r="U407" s="163"/>
      <c r="V407" s="163"/>
      <c r="W407" s="163"/>
      <c r="X407" s="163"/>
      <c r="Y407" s="163"/>
      <c r="Z407" s="163"/>
      <c r="AA407" s="163"/>
      <c r="AB407" s="163"/>
      <c r="AC407" s="163"/>
      <c r="AD407" s="163"/>
      <c r="AE407" s="163"/>
      <c r="AF407" s="163"/>
      <c r="AG407" s="163"/>
    </row>
    <row r="408" spans="21:33" ht="19.899999999999999" customHeight="1">
      <c r="U408" s="163"/>
      <c r="V408" s="163"/>
      <c r="W408" s="163"/>
      <c r="X408" s="163"/>
      <c r="Y408" s="163"/>
      <c r="Z408" s="163"/>
      <c r="AA408" s="163"/>
      <c r="AB408" s="163"/>
      <c r="AC408" s="163"/>
      <c r="AD408" s="163"/>
      <c r="AE408" s="163"/>
      <c r="AF408" s="163"/>
      <c r="AG408" s="163"/>
    </row>
    <row r="409" spans="21:33" ht="19.899999999999999" customHeight="1">
      <c r="U409" s="163"/>
      <c r="V409" s="163"/>
      <c r="W409" s="163"/>
      <c r="X409" s="163"/>
      <c r="Y409" s="163"/>
      <c r="Z409" s="163"/>
      <c r="AA409" s="163"/>
      <c r="AB409" s="163"/>
      <c r="AC409" s="163"/>
      <c r="AD409" s="163"/>
      <c r="AE409" s="163"/>
      <c r="AF409" s="163"/>
      <c r="AG409" s="163"/>
    </row>
    <row r="410" spans="21:33" ht="19.899999999999999" customHeight="1">
      <c r="U410" s="163"/>
      <c r="V410" s="163"/>
      <c r="W410" s="163"/>
      <c r="X410" s="163"/>
      <c r="Y410" s="163"/>
      <c r="Z410" s="163"/>
      <c r="AA410" s="163"/>
      <c r="AB410" s="163"/>
      <c r="AC410" s="163"/>
      <c r="AD410" s="163"/>
      <c r="AE410" s="163"/>
      <c r="AF410" s="163"/>
      <c r="AG410" s="163"/>
    </row>
    <row r="411" spans="21:33" ht="19.899999999999999" customHeight="1">
      <c r="U411" s="163"/>
      <c r="V411" s="163"/>
      <c r="W411" s="163"/>
      <c r="X411" s="163"/>
      <c r="Y411" s="163"/>
      <c r="Z411" s="163"/>
      <c r="AA411" s="163"/>
      <c r="AB411" s="163"/>
      <c r="AC411" s="163"/>
      <c r="AD411" s="163"/>
      <c r="AE411" s="163"/>
      <c r="AF411" s="163"/>
      <c r="AG411" s="163"/>
    </row>
    <row r="412" spans="21:33" ht="19.899999999999999" customHeight="1">
      <c r="U412" s="163"/>
      <c r="V412" s="163"/>
      <c r="W412" s="163"/>
      <c r="X412" s="163"/>
      <c r="Y412" s="163"/>
      <c r="Z412" s="163"/>
      <c r="AA412" s="163"/>
      <c r="AB412" s="163"/>
      <c r="AC412" s="163"/>
      <c r="AD412" s="163"/>
      <c r="AE412" s="163"/>
      <c r="AF412" s="163"/>
      <c r="AG412" s="163"/>
    </row>
    <row r="413" spans="21:33" ht="19.899999999999999" customHeight="1">
      <c r="U413" s="163"/>
      <c r="V413" s="163"/>
      <c r="W413" s="163"/>
      <c r="X413" s="163"/>
      <c r="Y413" s="163"/>
      <c r="Z413" s="163"/>
      <c r="AA413" s="163"/>
      <c r="AB413" s="163"/>
      <c r="AC413" s="163"/>
      <c r="AD413" s="163"/>
      <c r="AE413" s="163"/>
      <c r="AF413" s="163"/>
      <c r="AG413" s="163"/>
    </row>
    <row r="414" spans="21:33" ht="19.899999999999999" customHeight="1">
      <c r="U414" s="163"/>
      <c r="V414" s="163"/>
      <c r="W414" s="163"/>
      <c r="X414" s="163"/>
      <c r="Y414" s="163"/>
      <c r="Z414" s="163"/>
      <c r="AA414" s="163"/>
      <c r="AB414" s="163"/>
      <c r="AC414" s="163"/>
      <c r="AD414" s="163"/>
      <c r="AE414" s="163"/>
      <c r="AF414" s="163"/>
      <c r="AG414" s="163"/>
    </row>
    <row r="415" spans="21:33" ht="19.899999999999999" customHeight="1">
      <c r="U415" s="163"/>
      <c r="V415" s="163"/>
      <c r="W415" s="163"/>
      <c r="X415" s="163"/>
      <c r="Y415" s="163"/>
      <c r="Z415" s="163"/>
      <c r="AA415" s="163"/>
      <c r="AB415" s="163"/>
      <c r="AC415" s="163"/>
      <c r="AD415" s="163"/>
      <c r="AE415" s="163"/>
      <c r="AF415" s="163"/>
      <c r="AG415" s="163"/>
    </row>
    <row r="416" spans="21:33" ht="19.899999999999999" customHeight="1">
      <c r="U416" s="163"/>
      <c r="V416" s="163"/>
      <c r="W416" s="163"/>
      <c r="X416" s="163"/>
      <c r="Y416" s="163"/>
      <c r="Z416" s="163"/>
      <c r="AA416" s="163"/>
      <c r="AB416" s="163"/>
      <c r="AC416" s="163"/>
      <c r="AD416" s="163"/>
      <c r="AE416" s="163"/>
      <c r="AF416" s="163"/>
      <c r="AG416" s="163"/>
    </row>
    <row r="417" spans="21:33" ht="19.899999999999999" customHeight="1">
      <c r="U417" s="163"/>
      <c r="V417" s="163"/>
      <c r="W417" s="163"/>
      <c r="X417" s="163"/>
      <c r="Y417" s="163"/>
      <c r="Z417" s="163"/>
      <c r="AA417" s="163"/>
      <c r="AB417" s="163"/>
      <c r="AC417" s="163"/>
      <c r="AD417" s="163"/>
      <c r="AE417" s="163"/>
      <c r="AF417" s="163"/>
      <c r="AG417" s="163"/>
    </row>
    <row r="418" spans="21:33">
      <c r="U418" s="163"/>
      <c r="V418" s="163"/>
      <c r="W418" s="163"/>
      <c r="X418" s="163"/>
      <c r="Y418" s="163"/>
      <c r="Z418" s="163"/>
      <c r="AA418" s="163"/>
      <c r="AB418" s="163"/>
      <c r="AC418" s="163"/>
      <c r="AD418" s="163"/>
      <c r="AE418" s="163"/>
      <c r="AF418" s="163"/>
      <c r="AG418" s="163"/>
    </row>
    <row r="419" spans="21:33">
      <c r="U419" s="163"/>
      <c r="V419" s="163"/>
      <c r="W419" s="163"/>
      <c r="X419" s="163"/>
      <c r="Y419" s="163"/>
      <c r="Z419" s="163"/>
      <c r="AA419" s="163"/>
      <c r="AB419" s="163"/>
      <c r="AC419" s="163"/>
      <c r="AD419" s="163"/>
      <c r="AE419" s="163"/>
      <c r="AF419" s="163"/>
      <c r="AG419" s="163"/>
    </row>
    <row r="420" spans="21:33">
      <c r="U420" s="163"/>
      <c r="V420" s="163"/>
      <c r="W420" s="163"/>
      <c r="X420" s="163"/>
      <c r="Y420" s="163"/>
      <c r="Z420" s="163"/>
      <c r="AA420" s="163"/>
      <c r="AB420" s="163"/>
      <c r="AC420" s="163"/>
      <c r="AD420" s="163"/>
      <c r="AE420" s="163"/>
      <c r="AF420" s="163"/>
      <c r="AG420" s="163"/>
    </row>
    <row r="421" spans="21:33">
      <c r="U421" s="163"/>
      <c r="V421" s="163"/>
      <c r="W421" s="163"/>
      <c r="X421" s="163"/>
      <c r="Y421" s="163"/>
      <c r="Z421" s="163"/>
      <c r="AA421" s="163"/>
      <c r="AB421" s="163"/>
      <c r="AC421" s="163"/>
      <c r="AD421" s="163"/>
      <c r="AE421" s="163"/>
      <c r="AF421" s="163"/>
      <c r="AG421" s="163"/>
    </row>
    <row r="422" spans="21:33">
      <c r="U422" s="163"/>
      <c r="V422" s="163"/>
      <c r="W422" s="163"/>
      <c r="X422" s="163"/>
      <c r="Y422" s="163"/>
      <c r="Z422" s="163"/>
      <c r="AA422" s="163"/>
      <c r="AB422" s="163"/>
      <c r="AC422" s="163"/>
      <c r="AD422" s="163"/>
      <c r="AE422" s="163"/>
      <c r="AF422" s="163"/>
      <c r="AG422" s="163"/>
    </row>
    <row r="423" spans="21:33">
      <c r="U423" s="163"/>
      <c r="V423" s="163"/>
      <c r="W423" s="163"/>
      <c r="X423" s="163"/>
      <c r="Y423" s="163"/>
      <c r="Z423" s="163"/>
      <c r="AA423" s="163"/>
      <c r="AB423" s="163"/>
      <c r="AC423" s="163"/>
      <c r="AD423" s="163"/>
      <c r="AE423" s="163"/>
      <c r="AF423" s="163"/>
      <c r="AG423" s="163"/>
    </row>
    <row r="424" spans="21:33">
      <c r="U424" s="163"/>
      <c r="V424" s="163"/>
      <c r="W424" s="163"/>
      <c r="X424" s="163"/>
      <c r="Y424" s="163"/>
      <c r="Z424" s="163"/>
      <c r="AA424" s="163"/>
      <c r="AB424" s="163"/>
      <c r="AC424" s="163"/>
      <c r="AD424" s="163"/>
      <c r="AE424" s="163"/>
      <c r="AF424" s="163"/>
      <c r="AG424" s="163"/>
    </row>
    <row r="425" spans="21:33">
      <c r="U425" s="163"/>
      <c r="V425" s="163"/>
      <c r="W425" s="163"/>
      <c r="X425" s="163"/>
      <c r="Y425" s="163"/>
      <c r="Z425" s="163"/>
      <c r="AA425" s="163"/>
      <c r="AB425" s="163"/>
      <c r="AC425" s="163"/>
      <c r="AD425" s="163"/>
      <c r="AE425" s="163"/>
      <c r="AF425" s="163"/>
      <c r="AG425" s="163"/>
    </row>
    <row r="426" spans="21:33">
      <c r="U426" s="163"/>
      <c r="V426" s="163"/>
      <c r="W426" s="163"/>
      <c r="X426" s="163"/>
      <c r="Y426" s="163"/>
      <c r="Z426" s="163"/>
      <c r="AA426" s="163"/>
      <c r="AB426" s="163"/>
      <c r="AC426" s="163"/>
      <c r="AD426" s="163"/>
      <c r="AE426" s="163"/>
      <c r="AF426" s="163"/>
      <c r="AG426" s="163"/>
    </row>
    <row r="427" spans="21:33">
      <c r="U427" s="163"/>
      <c r="V427" s="163"/>
      <c r="W427" s="163"/>
      <c r="X427" s="163"/>
      <c r="Y427" s="163"/>
      <c r="Z427" s="163"/>
      <c r="AA427" s="163"/>
      <c r="AB427" s="163"/>
      <c r="AC427" s="163"/>
      <c r="AD427" s="163"/>
      <c r="AE427" s="163"/>
      <c r="AF427" s="163"/>
      <c r="AG427" s="163"/>
    </row>
    <row r="428" spans="21:33">
      <c r="U428" s="163"/>
      <c r="V428" s="163"/>
      <c r="W428" s="163"/>
      <c r="X428" s="163"/>
      <c r="Y428" s="163"/>
      <c r="Z428" s="163"/>
      <c r="AA428" s="163"/>
      <c r="AB428" s="163"/>
      <c r="AC428" s="163"/>
      <c r="AD428" s="163"/>
      <c r="AE428" s="163"/>
      <c r="AF428" s="163"/>
      <c r="AG428" s="163"/>
    </row>
    <row r="429" spans="21:33">
      <c r="U429" s="163"/>
      <c r="V429" s="163"/>
      <c r="W429" s="163"/>
      <c r="X429" s="163"/>
      <c r="Y429" s="163"/>
      <c r="Z429" s="163"/>
      <c r="AA429" s="163"/>
      <c r="AB429" s="163"/>
      <c r="AC429" s="163"/>
      <c r="AD429" s="163"/>
      <c r="AE429" s="163"/>
      <c r="AF429" s="163"/>
      <c r="AG429" s="163"/>
    </row>
    <row r="430" spans="21:33">
      <c r="U430" s="163"/>
      <c r="V430" s="163"/>
      <c r="W430" s="163"/>
      <c r="X430" s="163"/>
      <c r="Y430" s="163"/>
      <c r="Z430" s="163"/>
      <c r="AA430" s="163"/>
      <c r="AB430" s="163"/>
      <c r="AC430" s="163"/>
      <c r="AD430" s="163"/>
      <c r="AE430" s="163"/>
      <c r="AF430" s="163"/>
      <c r="AG430" s="163"/>
    </row>
    <row r="431" spans="21:33">
      <c r="U431" s="163"/>
      <c r="V431" s="163"/>
      <c r="W431" s="163"/>
      <c r="X431" s="163"/>
      <c r="Y431" s="163"/>
      <c r="Z431" s="163"/>
      <c r="AA431" s="163"/>
      <c r="AB431" s="163"/>
      <c r="AC431" s="163"/>
      <c r="AD431" s="163"/>
      <c r="AE431" s="163"/>
      <c r="AF431" s="163"/>
      <c r="AG431" s="163"/>
    </row>
    <row r="432" spans="21:33">
      <c r="U432" s="163"/>
      <c r="V432" s="163"/>
      <c r="W432" s="163"/>
      <c r="X432" s="163"/>
      <c r="Y432" s="163"/>
      <c r="Z432" s="163"/>
      <c r="AA432" s="163"/>
      <c r="AB432" s="163"/>
      <c r="AC432" s="163"/>
      <c r="AD432" s="163"/>
      <c r="AE432" s="163"/>
      <c r="AF432" s="163"/>
      <c r="AG432" s="163"/>
    </row>
    <row r="433" spans="21:33">
      <c r="U433" s="163"/>
      <c r="V433" s="163"/>
      <c r="W433" s="163"/>
      <c r="X433" s="163"/>
      <c r="Y433" s="163"/>
      <c r="Z433" s="163"/>
      <c r="AA433" s="163"/>
      <c r="AB433" s="163"/>
      <c r="AC433" s="163"/>
      <c r="AD433" s="163"/>
      <c r="AE433" s="163"/>
      <c r="AF433" s="163"/>
      <c r="AG433" s="163"/>
    </row>
    <row r="434" spans="21:33">
      <c r="U434" s="163"/>
      <c r="V434" s="163"/>
      <c r="W434" s="163"/>
      <c r="X434" s="163"/>
      <c r="Y434" s="163"/>
      <c r="Z434" s="163"/>
      <c r="AA434" s="163"/>
      <c r="AB434" s="163"/>
      <c r="AC434" s="163"/>
      <c r="AD434" s="163"/>
      <c r="AE434" s="163"/>
      <c r="AF434" s="163"/>
      <c r="AG434" s="163"/>
    </row>
    <row r="435" spans="21:33">
      <c r="U435" s="163"/>
      <c r="V435" s="163"/>
      <c r="W435" s="163"/>
      <c r="X435" s="163"/>
      <c r="Y435" s="163"/>
      <c r="Z435" s="163"/>
      <c r="AA435" s="163"/>
      <c r="AB435" s="163"/>
      <c r="AC435" s="163"/>
      <c r="AD435" s="163"/>
      <c r="AE435" s="163"/>
      <c r="AF435" s="163"/>
      <c r="AG435" s="163"/>
    </row>
    <row r="436" spans="21:33">
      <c r="U436" s="163"/>
      <c r="V436" s="163"/>
      <c r="W436" s="163"/>
      <c r="X436" s="163"/>
      <c r="Y436" s="163"/>
      <c r="Z436" s="163"/>
      <c r="AA436" s="163"/>
      <c r="AB436" s="163"/>
      <c r="AC436" s="163"/>
      <c r="AD436" s="163"/>
      <c r="AE436" s="163"/>
      <c r="AF436" s="163"/>
      <c r="AG436" s="163"/>
    </row>
    <row r="437" spans="21:33">
      <c r="U437" s="163"/>
      <c r="V437" s="163"/>
      <c r="W437" s="163"/>
      <c r="X437" s="163"/>
      <c r="Y437" s="163"/>
      <c r="Z437" s="163"/>
      <c r="AA437" s="163"/>
      <c r="AB437" s="163"/>
      <c r="AC437" s="163"/>
      <c r="AD437" s="163"/>
      <c r="AE437" s="163"/>
      <c r="AF437" s="163"/>
      <c r="AG437" s="163"/>
    </row>
    <row r="438" spans="21:33">
      <c r="U438" s="163"/>
      <c r="V438" s="163"/>
      <c r="W438" s="163"/>
      <c r="X438" s="163"/>
      <c r="Y438" s="163"/>
      <c r="Z438" s="163"/>
      <c r="AA438" s="163"/>
      <c r="AB438" s="163"/>
      <c r="AC438" s="163"/>
      <c r="AD438" s="163"/>
      <c r="AE438" s="163"/>
      <c r="AF438" s="163"/>
      <c r="AG438" s="163"/>
    </row>
    <row r="439" spans="21:33">
      <c r="U439" s="163"/>
      <c r="V439" s="163"/>
      <c r="W439" s="163"/>
      <c r="X439" s="163"/>
      <c r="Y439" s="163"/>
      <c r="Z439" s="163"/>
      <c r="AA439" s="163"/>
      <c r="AB439" s="163"/>
      <c r="AC439" s="163"/>
      <c r="AD439" s="163"/>
      <c r="AE439" s="163"/>
      <c r="AF439" s="163"/>
      <c r="AG439" s="163"/>
    </row>
    <row r="440" spans="21:33">
      <c r="U440" s="163"/>
      <c r="V440" s="163"/>
      <c r="W440" s="163"/>
      <c r="X440" s="163"/>
      <c r="Y440" s="163"/>
      <c r="Z440" s="163"/>
      <c r="AA440" s="163"/>
      <c r="AB440" s="163"/>
      <c r="AC440" s="163"/>
      <c r="AD440" s="163"/>
      <c r="AE440" s="163"/>
      <c r="AF440" s="163"/>
      <c r="AG440" s="163"/>
    </row>
    <row r="441" spans="21:33">
      <c r="U441" s="163"/>
      <c r="V441" s="163"/>
      <c r="W441" s="163"/>
      <c r="X441" s="163"/>
      <c r="Y441" s="163"/>
      <c r="Z441" s="163"/>
      <c r="AA441" s="163"/>
      <c r="AB441" s="163"/>
      <c r="AC441" s="163"/>
      <c r="AD441" s="163"/>
      <c r="AE441" s="163"/>
      <c r="AF441" s="163"/>
      <c r="AG441" s="163"/>
    </row>
    <row r="442" spans="21:33">
      <c r="U442" s="163"/>
      <c r="V442" s="163"/>
      <c r="W442" s="163"/>
      <c r="X442" s="163"/>
      <c r="Y442" s="163"/>
      <c r="Z442" s="163"/>
      <c r="AA442" s="163"/>
      <c r="AB442" s="163"/>
      <c r="AC442" s="163"/>
      <c r="AD442" s="163"/>
      <c r="AE442" s="163"/>
      <c r="AF442" s="163"/>
      <c r="AG442" s="163"/>
    </row>
    <row r="443" spans="21:33">
      <c r="U443" s="163"/>
      <c r="V443" s="163"/>
      <c r="W443" s="163"/>
      <c r="X443" s="163"/>
      <c r="Y443" s="163"/>
      <c r="Z443" s="163"/>
      <c r="AA443" s="163"/>
      <c r="AB443" s="163"/>
      <c r="AC443" s="163"/>
      <c r="AD443" s="163"/>
      <c r="AE443" s="163"/>
      <c r="AF443" s="163"/>
      <c r="AG443" s="163"/>
    </row>
    <row r="444" spans="21:33">
      <c r="U444" s="163"/>
      <c r="V444" s="163"/>
      <c r="W444" s="163"/>
      <c r="X444" s="163"/>
      <c r="Y444" s="163"/>
      <c r="Z444" s="163"/>
      <c r="AA444" s="163"/>
      <c r="AB444" s="163"/>
      <c r="AC444" s="163"/>
      <c r="AD444" s="163"/>
      <c r="AE444" s="163"/>
      <c r="AF444" s="163"/>
      <c r="AG444" s="163"/>
    </row>
    <row r="445" spans="21:33">
      <c r="U445" s="163"/>
      <c r="V445" s="163"/>
      <c r="W445" s="163"/>
      <c r="X445" s="163"/>
      <c r="Y445" s="163"/>
      <c r="Z445" s="163"/>
      <c r="AA445" s="163"/>
      <c r="AB445" s="163"/>
      <c r="AC445" s="163"/>
      <c r="AD445" s="163"/>
      <c r="AE445" s="163"/>
      <c r="AF445" s="163"/>
      <c r="AG445" s="163"/>
    </row>
    <row r="446" spans="21:33">
      <c r="U446" s="163"/>
      <c r="V446" s="163"/>
      <c r="W446" s="163"/>
      <c r="X446" s="163"/>
      <c r="Y446" s="163"/>
      <c r="Z446" s="163"/>
      <c r="AA446" s="163"/>
      <c r="AB446" s="163"/>
      <c r="AC446" s="163"/>
      <c r="AD446" s="163"/>
      <c r="AE446" s="163"/>
      <c r="AF446" s="163"/>
      <c r="AG446" s="163"/>
    </row>
    <row r="447" spans="21:33">
      <c r="U447" s="163"/>
      <c r="V447" s="163"/>
      <c r="W447" s="163"/>
      <c r="X447" s="163"/>
      <c r="Y447" s="163"/>
      <c r="Z447" s="163"/>
      <c r="AA447" s="163"/>
      <c r="AB447" s="163"/>
      <c r="AC447" s="163"/>
      <c r="AD447" s="163"/>
      <c r="AE447" s="163"/>
      <c r="AF447" s="163"/>
      <c r="AG447" s="163"/>
    </row>
    <row r="448" spans="21:33">
      <c r="U448" s="163"/>
      <c r="V448" s="163"/>
      <c r="W448" s="163"/>
      <c r="X448" s="163"/>
      <c r="Y448" s="163"/>
      <c r="Z448" s="163"/>
      <c r="AA448" s="163"/>
      <c r="AB448" s="163"/>
      <c r="AC448" s="163"/>
      <c r="AD448" s="163"/>
      <c r="AE448" s="163"/>
      <c r="AF448" s="163"/>
      <c r="AG448" s="163"/>
    </row>
    <row r="449" spans="21:33">
      <c r="U449" s="163"/>
      <c r="V449" s="163"/>
      <c r="W449" s="163"/>
      <c r="X449" s="163"/>
      <c r="Y449" s="163"/>
      <c r="Z449" s="163"/>
      <c r="AA449" s="163"/>
      <c r="AB449" s="163"/>
      <c r="AC449" s="163"/>
      <c r="AD449" s="163"/>
      <c r="AE449" s="163"/>
      <c r="AF449" s="163"/>
      <c r="AG449" s="163"/>
    </row>
    <row r="450" spans="21:33">
      <c r="U450" s="163"/>
      <c r="V450" s="163"/>
      <c r="W450" s="163"/>
      <c r="X450" s="163"/>
      <c r="Y450" s="163"/>
      <c r="Z450" s="163"/>
      <c r="AA450" s="163"/>
      <c r="AB450" s="163"/>
      <c r="AC450" s="163"/>
      <c r="AD450" s="163"/>
      <c r="AE450" s="163"/>
      <c r="AF450" s="163"/>
      <c r="AG450" s="163"/>
    </row>
    <row r="451" spans="21:33">
      <c r="U451" s="163"/>
      <c r="V451" s="163"/>
      <c r="W451" s="163"/>
      <c r="X451" s="163"/>
      <c r="Y451" s="163"/>
      <c r="Z451" s="163"/>
      <c r="AA451" s="163"/>
      <c r="AB451" s="163"/>
      <c r="AC451" s="163"/>
      <c r="AD451" s="163"/>
      <c r="AE451" s="163"/>
      <c r="AF451" s="163"/>
      <c r="AG451" s="163"/>
    </row>
    <row r="452" spans="21:33">
      <c r="U452" s="163"/>
      <c r="V452" s="163"/>
      <c r="W452" s="163"/>
      <c r="X452" s="163"/>
      <c r="Y452" s="163"/>
      <c r="Z452" s="163"/>
      <c r="AA452" s="163"/>
      <c r="AB452" s="163"/>
      <c r="AC452" s="163"/>
      <c r="AD452" s="163"/>
      <c r="AE452" s="163"/>
      <c r="AF452" s="163"/>
      <c r="AG452" s="163"/>
    </row>
    <row r="453" spans="21:33">
      <c r="U453" s="163"/>
      <c r="V453" s="163"/>
      <c r="W453" s="163"/>
      <c r="X453" s="163"/>
      <c r="Y453" s="163"/>
      <c r="Z453" s="163"/>
      <c r="AA453" s="163"/>
      <c r="AB453" s="163"/>
      <c r="AC453" s="163"/>
      <c r="AD453" s="163"/>
      <c r="AE453" s="163"/>
      <c r="AF453" s="163"/>
      <c r="AG453" s="163"/>
    </row>
    <row r="454" spans="21:33">
      <c r="U454" s="163"/>
      <c r="V454" s="163"/>
      <c r="W454" s="163"/>
      <c r="X454" s="163"/>
      <c r="Y454" s="163"/>
      <c r="Z454" s="163"/>
      <c r="AA454" s="163"/>
      <c r="AB454" s="163"/>
      <c r="AC454" s="163"/>
      <c r="AD454" s="163"/>
      <c r="AE454" s="163"/>
      <c r="AF454" s="163"/>
      <c r="AG454" s="163"/>
    </row>
    <row r="455" spans="21:33">
      <c r="U455" s="163"/>
      <c r="V455" s="163"/>
      <c r="W455" s="163"/>
      <c r="X455" s="163"/>
      <c r="Y455" s="163"/>
      <c r="Z455" s="163"/>
      <c r="AA455" s="163"/>
      <c r="AB455" s="163"/>
      <c r="AC455" s="163"/>
      <c r="AD455" s="163"/>
      <c r="AE455" s="163"/>
      <c r="AF455" s="163"/>
      <c r="AG455" s="163"/>
    </row>
    <row r="456" spans="21:33">
      <c r="U456" s="163"/>
      <c r="V456" s="163"/>
      <c r="W456" s="163"/>
      <c r="X456" s="163"/>
      <c r="Y456" s="163"/>
      <c r="Z456" s="163"/>
      <c r="AA456" s="163"/>
      <c r="AB456" s="163"/>
      <c r="AC456" s="163"/>
      <c r="AD456" s="163"/>
      <c r="AE456" s="163"/>
      <c r="AF456" s="163"/>
      <c r="AG456" s="163"/>
    </row>
    <row r="457" spans="21:33">
      <c r="U457" s="163"/>
      <c r="V457" s="163"/>
      <c r="W457" s="163"/>
      <c r="X457" s="163"/>
      <c r="Y457" s="163"/>
      <c r="Z457" s="163"/>
      <c r="AA457" s="163"/>
      <c r="AB457" s="163"/>
      <c r="AC457" s="163"/>
      <c r="AD457" s="163"/>
      <c r="AE457" s="163"/>
      <c r="AF457" s="163"/>
      <c r="AG457" s="163"/>
    </row>
    <row r="458" spans="21:33">
      <c r="U458" s="163"/>
      <c r="V458" s="163"/>
      <c r="W458" s="163"/>
      <c r="X458" s="163"/>
      <c r="Y458" s="163"/>
      <c r="Z458" s="163"/>
      <c r="AA458" s="163"/>
      <c r="AB458" s="163"/>
      <c r="AC458" s="163"/>
      <c r="AD458" s="163"/>
      <c r="AE458" s="163"/>
      <c r="AF458" s="163"/>
      <c r="AG458" s="163"/>
    </row>
    <row r="459" spans="21:33">
      <c r="U459" s="163"/>
      <c r="V459" s="163"/>
      <c r="W459" s="163"/>
      <c r="X459" s="163"/>
      <c r="Y459" s="163"/>
      <c r="Z459" s="163"/>
      <c r="AA459" s="163"/>
      <c r="AB459" s="163"/>
      <c r="AC459" s="163"/>
      <c r="AD459" s="163"/>
      <c r="AE459" s="163"/>
      <c r="AF459" s="163"/>
      <c r="AG459" s="163"/>
    </row>
    <row r="460" spans="21:33">
      <c r="U460" s="163"/>
      <c r="V460" s="163"/>
      <c r="W460" s="163"/>
      <c r="X460" s="163"/>
      <c r="Y460" s="163"/>
      <c r="Z460" s="163"/>
      <c r="AA460" s="163"/>
      <c r="AB460" s="163"/>
      <c r="AC460" s="163"/>
      <c r="AD460" s="163"/>
      <c r="AE460" s="163"/>
      <c r="AF460" s="163"/>
      <c r="AG460" s="163"/>
    </row>
    <row r="461" spans="21:33">
      <c r="U461" s="163"/>
      <c r="V461" s="163"/>
      <c r="W461" s="163"/>
      <c r="X461" s="163"/>
      <c r="Y461" s="163"/>
      <c r="Z461" s="163"/>
      <c r="AA461" s="163"/>
      <c r="AB461" s="163"/>
      <c r="AC461" s="163"/>
      <c r="AD461" s="163"/>
      <c r="AE461" s="163"/>
      <c r="AF461" s="163"/>
      <c r="AG461" s="163"/>
    </row>
    <row r="462" spans="21:33">
      <c r="U462" s="163"/>
      <c r="V462" s="163"/>
      <c r="W462" s="163"/>
      <c r="X462" s="163"/>
      <c r="Y462" s="163"/>
      <c r="Z462" s="163"/>
      <c r="AA462" s="163"/>
      <c r="AB462" s="163"/>
      <c r="AC462" s="163"/>
      <c r="AD462" s="163"/>
      <c r="AE462" s="163"/>
      <c r="AF462" s="163"/>
      <c r="AG462" s="163"/>
    </row>
    <row r="463" spans="21:33">
      <c r="U463" s="163"/>
      <c r="V463" s="163"/>
      <c r="W463" s="163"/>
      <c r="X463" s="163"/>
      <c r="Y463" s="163"/>
      <c r="Z463" s="163"/>
      <c r="AA463" s="163"/>
      <c r="AB463" s="163"/>
      <c r="AC463" s="163"/>
      <c r="AD463" s="163"/>
      <c r="AE463" s="163"/>
      <c r="AF463" s="163"/>
      <c r="AG463" s="163"/>
    </row>
    <row r="464" spans="21:33">
      <c r="U464" s="163"/>
      <c r="V464" s="163"/>
      <c r="W464" s="163"/>
      <c r="X464" s="163"/>
      <c r="Y464" s="163"/>
      <c r="Z464" s="163"/>
      <c r="AA464" s="163"/>
      <c r="AB464" s="163"/>
      <c r="AC464" s="163"/>
      <c r="AD464" s="163"/>
      <c r="AE464" s="163"/>
      <c r="AF464" s="163"/>
      <c r="AG464" s="163"/>
    </row>
    <row r="465" spans="21:33">
      <c r="U465" s="163"/>
      <c r="V465" s="163"/>
      <c r="W465" s="163"/>
      <c r="X465" s="163"/>
      <c r="Y465" s="163"/>
      <c r="Z465" s="163"/>
      <c r="AA465" s="163"/>
      <c r="AB465" s="163"/>
      <c r="AC465" s="163"/>
      <c r="AD465" s="163"/>
      <c r="AE465" s="163"/>
      <c r="AF465" s="163"/>
      <c r="AG465" s="163"/>
    </row>
    <row r="466" spans="21:33">
      <c r="U466" s="163"/>
      <c r="V466" s="163"/>
      <c r="W466" s="163"/>
      <c r="X466" s="163"/>
      <c r="Y466" s="163"/>
      <c r="Z466" s="163"/>
      <c r="AA466" s="163"/>
      <c r="AB466" s="163"/>
      <c r="AC466" s="163"/>
      <c r="AD466" s="163"/>
      <c r="AE466" s="163"/>
      <c r="AF466" s="163"/>
      <c r="AG466" s="163"/>
    </row>
    <row r="467" spans="21:33">
      <c r="U467" s="163"/>
      <c r="V467" s="163"/>
      <c r="W467" s="163"/>
      <c r="X467" s="163"/>
      <c r="Y467" s="163"/>
      <c r="Z467" s="163"/>
      <c r="AA467" s="163"/>
      <c r="AB467" s="163"/>
      <c r="AC467" s="163"/>
      <c r="AD467" s="163"/>
      <c r="AE467" s="163"/>
      <c r="AF467" s="163"/>
      <c r="AG467" s="163"/>
    </row>
    <row r="468" spans="21:33">
      <c r="U468" s="163"/>
      <c r="V468" s="163"/>
      <c r="W468" s="163"/>
      <c r="X468" s="163"/>
      <c r="Y468" s="163"/>
      <c r="Z468" s="163"/>
      <c r="AA468" s="163"/>
      <c r="AB468" s="163"/>
      <c r="AC468" s="163"/>
      <c r="AD468" s="163"/>
      <c r="AE468" s="163"/>
      <c r="AF468" s="163"/>
      <c r="AG468" s="163"/>
    </row>
    <row r="469" spans="21:33">
      <c r="U469" s="163"/>
      <c r="V469" s="163"/>
      <c r="W469" s="163"/>
      <c r="X469" s="163"/>
      <c r="Y469" s="163"/>
      <c r="Z469" s="163"/>
      <c r="AA469" s="163"/>
      <c r="AB469" s="163"/>
      <c r="AC469" s="163"/>
      <c r="AD469" s="163"/>
      <c r="AE469" s="163"/>
      <c r="AF469" s="163"/>
      <c r="AG469" s="163"/>
    </row>
    <row r="470" spans="21:33">
      <c r="U470" s="163"/>
      <c r="V470" s="163"/>
      <c r="W470" s="163"/>
      <c r="X470" s="163"/>
      <c r="Y470" s="163"/>
      <c r="Z470" s="163"/>
      <c r="AA470" s="163"/>
      <c r="AB470" s="163"/>
      <c r="AC470" s="163"/>
      <c r="AD470" s="163"/>
      <c r="AE470" s="163"/>
      <c r="AF470" s="163"/>
      <c r="AG470" s="163"/>
    </row>
    <row r="471" spans="21:33">
      <c r="U471" s="163"/>
      <c r="V471" s="163"/>
      <c r="W471" s="163"/>
      <c r="X471" s="163"/>
      <c r="Y471" s="163"/>
      <c r="Z471" s="163"/>
      <c r="AA471" s="163"/>
      <c r="AB471" s="163"/>
      <c r="AC471" s="163"/>
      <c r="AD471" s="163"/>
      <c r="AE471" s="163"/>
      <c r="AF471" s="163"/>
      <c r="AG471" s="163"/>
    </row>
    <row r="472" spans="21:33">
      <c r="U472" s="163"/>
      <c r="V472" s="163"/>
      <c r="W472" s="163"/>
      <c r="X472" s="163"/>
      <c r="Y472" s="163"/>
      <c r="Z472" s="163"/>
      <c r="AA472" s="163"/>
      <c r="AB472" s="163"/>
      <c r="AC472" s="163"/>
      <c r="AD472" s="163"/>
      <c r="AE472" s="163"/>
      <c r="AF472" s="163"/>
      <c r="AG472" s="163"/>
    </row>
    <row r="473" spans="21:33">
      <c r="U473" s="163"/>
      <c r="V473" s="163"/>
      <c r="W473" s="163"/>
      <c r="X473" s="163"/>
      <c r="Y473" s="163"/>
      <c r="Z473" s="163"/>
      <c r="AA473" s="163"/>
      <c r="AB473" s="163"/>
      <c r="AC473" s="163"/>
      <c r="AD473" s="163"/>
      <c r="AE473" s="163"/>
      <c r="AF473" s="163"/>
      <c r="AG473" s="163"/>
    </row>
    <row r="474" spans="21:33">
      <c r="U474" s="163"/>
      <c r="V474" s="163"/>
      <c r="W474" s="163"/>
      <c r="X474" s="163"/>
      <c r="Y474" s="163"/>
      <c r="Z474" s="163"/>
      <c r="AA474" s="163"/>
      <c r="AB474" s="163"/>
      <c r="AC474" s="163"/>
      <c r="AD474" s="163"/>
      <c r="AE474" s="163"/>
      <c r="AF474" s="163"/>
      <c r="AG474" s="163"/>
    </row>
    <row r="475" spans="21:33">
      <c r="U475" s="163"/>
      <c r="V475" s="163"/>
      <c r="W475" s="163"/>
      <c r="X475" s="163"/>
      <c r="Y475" s="163"/>
      <c r="Z475" s="163"/>
      <c r="AA475" s="163"/>
      <c r="AB475" s="163"/>
      <c r="AC475" s="163"/>
      <c r="AD475" s="163"/>
      <c r="AE475" s="163"/>
      <c r="AF475" s="163"/>
      <c r="AG475" s="163"/>
    </row>
    <row r="476" spans="21:33">
      <c r="U476" s="163"/>
      <c r="V476" s="163"/>
      <c r="W476" s="163"/>
      <c r="X476" s="163"/>
      <c r="Y476" s="163"/>
      <c r="Z476" s="163"/>
      <c r="AA476" s="163"/>
      <c r="AB476" s="163"/>
      <c r="AC476" s="163"/>
      <c r="AD476" s="163"/>
      <c r="AE476" s="163"/>
      <c r="AF476" s="163"/>
      <c r="AG476" s="163"/>
    </row>
    <row r="477" spans="21:33">
      <c r="U477" s="163"/>
      <c r="V477" s="163"/>
      <c r="W477" s="163"/>
      <c r="X477" s="163"/>
      <c r="Y477" s="163"/>
      <c r="Z477" s="163"/>
      <c r="AA477" s="163"/>
      <c r="AB477" s="163"/>
      <c r="AC477" s="163"/>
      <c r="AD477" s="163"/>
      <c r="AE477" s="163"/>
      <c r="AF477" s="163"/>
      <c r="AG477" s="163"/>
    </row>
    <row r="478" spans="21:33">
      <c r="U478" s="163"/>
      <c r="V478" s="163"/>
      <c r="W478" s="163"/>
      <c r="X478" s="163"/>
      <c r="Y478" s="163"/>
      <c r="Z478" s="163"/>
      <c r="AA478" s="163"/>
      <c r="AB478" s="163"/>
      <c r="AC478" s="163"/>
      <c r="AD478" s="163"/>
      <c r="AE478" s="163"/>
      <c r="AF478" s="163"/>
      <c r="AG478" s="163"/>
    </row>
    <row r="479" spans="21:33">
      <c r="U479" s="163"/>
      <c r="V479" s="163"/>
      <c r="W479" s="163"/>
      <c r="X479" s="163"/>
      <c r="Y479" s="163"/>
      <c r="Z479" s="163"/>
      <c r="AA479" s="163"/>
      <c r="AB479" s="163"/>
      <c r="AC479" s="163"/>
      <c r="AD479" s="163"/>
      <c r="AE479" s="163"/>
      <c r="AF479" s="163"/>
      <c r="AG479" s="163"/>
    </row>
    <row r="480" spans="21:33">
      <c r="U480" s="163"/>
      <c r="V480" s="163"/>
      <c r="W480" s="163"/>
      <c r="X480" s="163"/>
      <c r="Y480" s="163"/>
      <c r="Z480" s="163"/>
      <c r="AA480" s="163"/>
      <c r="AB480" s="163"/>
      <c r="AC480" s="163"/>
      <c r="AD480" s="163"/>
      <c r="AE480" s="163"/>
      <c r="AF480" s="163"/>
      <c r="AG480" s="163"/>
    </row>
    <row r="481" spans="21:33">
      <c r="U481" s="163"/>
      <c r="V481" s="163"/>
      <c r="W481" s="163"/>
      <c r="X481" s="163"/>
      <c r="Y481" s="163"/>
      <c r="Z481" s="163"/>
      <c r="AA481" s="163"/>
      <c r="AB481" s="163"/>
      <c r="AC481" s="163"/>
      <c r="AD481" s="163"/>
      <c r="AE481" s="163"/>
      <c r="AF481" s="163"/>
      <c r="AG481" s="163"/>
    </row>
    <row r="482" spans="21:33">
      <c r="U482" s="163"/>
      <c r="V482" s="163"/>
      <c r="W482" s="163"/>
      <c r="X482" s="163"/>
      <c r="Y482" s="163"/>
      <c r="Z482" s="163"/>
      <c r="AA482" s="163"/>
      <c r="AB482" s="163"/>
      <c r="AC482" s="163"/>
      <c r="AD482" s="163"/>
      <c r="AE482" s="163"/>
      <c r="AF482" s="163"/>
      <c r="AG482" s="163"/>
    </row>
    <row r="483" spans="21:33">
      <c r="U483" s="163"/>
      <c r="V483" s="163"/>
      <c r="W483" s="163"/>
      <c r="X483" s="163"/>
      <c r="Y483" s="163"/>
      <c r="Z483" s="163"/>
      <c r="AA483" s="163"/>
      <c r="AB483" s="163"/>
      <c r="AC483" s="163"/>
      <c r="AD483" s="163"/>
      <c r="AE483" s="163"/>
      <c r="AF483" s="163"/>
      <c r="AG483" s="163"/>
    </row>
    <row r="484" spans="21:33">
      <c r="U484" s="163"/>
      <c r="V484" s="163"/>
      <c r="W484" s="163"/>
      <c r="X484" s="163"/>
      <c r="Y484" s="163"/>
      <c r="Z484" s="163"/>
      <c r="AA484" s="163"/>
      <c r="AB484" s="163"/>
      <c r="AC484" s="163"/>
      <c r="AD484" s="163"/>
      <c r="AE484" s="163"/>
      <c r="AF484" s="163"/>
      <c r="AG484" s="163"/>
    </row>
    <row r="485" spans="21:33">
      <c r="U485" s="163"/>
      <c r="V485" s="163"/>
      <c r="W485" s="163"/>
      <c r="X485" s="163"/>
      <c r="Y485" s="163"/>
      <c r="Z485" s="163"/>
      <c r="AA485" s="163"/>
      <c r="AB485" s="163"/>
      <c r="AC485" s="163"/>
      <c r="AD485" s="163"/>
      <c r="AE485" s="163"/>
      <c r="AF485" s="163"/>
      <c r="AG485" s="163"/>
    </row>
    <row r="486" spans="21:33">
      <c r="U486" s="163"/>
      <c r="V486" s="163"/>
      <c r="W486" s="163"/>
      <c r="X486" s="163"/>
      <c r="Y486" s="163"/>
      <c r="Z486" s="163"/>
      <c r="AA486" s="163"/>
      <c r="AB486" s="163"/>
      <c r="AC486" s="163"/>
      <c r="AD486" s="163"/>
      <c r="AE486" s="163"/>
      <c r="AF486" s="163"/>
      <c r="AG486" s="163"/>
    </row>
    <row r="487" spans="21:33">
      <c r="U487" s="163"/>
      <c r="V487" s="163"/>
      <c r="W487" s="163"/>
      <c r="X487" s="163"/>
      <c r="Y487" s="163"/>
      <c r="Z487" s="163"/>
      <c r="AA487" s="163"/>
      <c r="AB487" s="163"/>
      <c r="AC487" s="163"/>
      <c r="AD487" s="163"/>
      <c r="AE487" s="163"/>
      <c r="AF487" s="163"/>
      <c r="AG487" s="163"/>
    </row>
    <row r="488" spans="21:33">
      <c r="U488" s="163"/>
      <c r="V488" s="163"/>
      <c r="W488" s="163"/>
      <c r="X488" s="163"/>
      <c r="Y488" s="163"/>
      <c r="Z488" s="163"/>
      <c r="AA488" s="163"/>
      <c r="AB488" s="163"/>
      <c r="AC488" s="163"/>
      <c r="AD488" s="163"/>
      <c r="AE488" s="163"/>
      <c r="AF488" s="163"/>
      <c r="AG488" s="163"/>
    </row>
    <row r="489" spans="21:33">
      <c r="U489" s="163"/>
      <c r="V489" s="163"/>
      <c r="W489" s="163"/>
      <c r="X489" s="163"/>
      <c r="Y489" s="163"/>
      <c r="Z489" s="163"/>
      <c r="AA489" s="163"/>
      <c r="AB489" s="163"/>
      <c r="AC489" s="163"/>
      <c r="AD489" s="163"/>
      <c r="AE489" s="163"/>
      <c r="AF489" s="163"/>
      <c r="AG489" s="163"/>
    </row>
    <row r="490" spans="21:33">
      <c r="U490" s="163"/>
      <c r="V490" s="163"/>
      <c r="W490" s="163"/>
      <c r="X490" s="163"/>
      <c r="Y490" s="163"/>
      <c r="Z490" s="163"/>
      <c r="AA490" s="163"/>
      <c r="AB490" s="163"/>
      <c r="AC490" s="163"/>
      <c r="AD490" s="163"/>
      <c r="AE490" s="163"/>
      <c r="AF490" s="163"/>
      <c r="AG490" s="163"/>
    </row>
    <row r="491" spans="21:33">
      <c r="U491" s="163"/>
      <c r="V491" s="163"/>
      <c r="W491" s="163"/>
      <c r="X491" s="163"/>
      <c r="Y491" s="163"/>
      <c r="Z491" s="163"/>
      <c r="AA491" s="163"/>
      <c r="AB491" s="163"/>
      <c r="AC491" s="163"/>
      <c r="AD491" s="163"/>
      <c r="AE491" s="163"/>
      <c r="AF491" s="163"/>
      <c r="AG491" s="163"/>
    </row>
    <row r="492" spans="21:33">
      <c r="U492" s="163"/>
      <c r="V492" s="163"/>
      <c r="W492" s="163"/>
      <c r="X492" s="163"/>
      <c r="Y492" s="163"/>
      <c r="Z492" s="163"/>
      <c r="AA492" s="163"/>
      <c r="AB492" s="163"/>
      <c r="AC492" s="163"/>
      <c r="AD492" s="163"/>
      <c r="AE492" s="163"/>
      <c r="AF492" s="163"/>
      <c r="AG492" s="163"/>
    </row>
    <row r="493" spans="21:33">
      <c r="U493" s="163"/>
      <c r="V493" s="163"/>
      <c r="W493" s="163"/>
      <c r="X493" s="163"/>
      <c r="Y493" s="163"/>
      <c r="Z493" s="163"/>
      <c r="AA493" s="163"/>
      <c r="AB493" s="163"/>
      <c r="AC493" s="163"/>
      <c r="AD493" s="163"/>
      <c r="AE493" s="163"/>
      <c r="AF493" s="163"/>
      <c r="AG493" s="163"/>
    </row>
    <row r="494" spans="21:33">
      <c r="U494" s="163"/>
      <c r="V494" s="163"/>
      <c r="W494" s="163"/>
      <c r="X494" s="163"/>
      <c r="Y494" s="163"/>
      <c r="Z494" s="163"/>
      <c r="AA494" s="163"/>
      <c r="AB494" s="163"/>
      <c r="AC494" s="163"/>
      <c r="AD494" s="163"/>
      <c r="AE494" s="163"/>
      <c r="AF494" s="163"/>
      <c r="AG494" s="163"/>
    </row>
    <row r="495" spans="21:33">
      <c r="U495" s="163"/>
      <c r="V495" s="163"/>
      <c r="W495" s="163"/>
      <c r="X495" s="163"/>
      <c r="Y495" s="163"/>
      <c r="Z495" s="163"/>
      <c r="AA495" s="163"/>
      <c r="AB495" s="163"/>
      <c r="AC495" s="163"/>
      <c r="AD495" s="163"/>
      <c r="AE495" s="163"/>
      <c r="AF495" s="163"/>
      <c r="AG495" s="163"/>
    </row>
    <row r="496" spans="21:33">
      <c r="U496" s="163"/>
      <c r="V496" s="163"/>
      <c r="W496" s="163"/>
      <c r="X496" s="163"/>
      <c r="Y496" s="163"/>
      <c r="Z496" s="163"/>
      <c r="AA496" s="163"/>
      <c r="AB496" s="163"/>
      <c r="AC496" s="163"/>
      <c r="AD496" s="163"/>
      <c r="AE496" s="163"/>
      <c r="AF496" s="163"/>
      <c r="AG496" s="163"/>
    </row>
    <row r="497" spans="21:33">
      <c r="U497" s="163"/>
      <c r="V497" s="163"/>
      <c r="W497" s="163"/>
      <c r="X497" s="163"/>
      <c r="Y497" s="163"/>
      <c r="Z497" s="163"/>
      <c r="AA497" s="163"/>
      <c r="AB497" s="163"/>
      <c r="AC497" s="163"/>
      <c r="AD497" s="163"/>
      <c r="AE497" s="163"/>
      <c r="AF497" s="163"/>
      <c r="AG497" s="163"/>
    </row>
    <row r="498" spans="21:33">
      <c r="U498" s="163"/>
      <c r="V498" s="163"/>
      <c r="W498" s="163"/>
      <c r="X498" s="163"/>
      <c r="Y498" s="163"/>
      <c r="Z498" s="163"/>
      <c r="AA498" s="163"/>
      <c r="AB498" s="163"/>
      <c r="AC498" s="163"/>
      <c r="AD498" s="163"/>
      <c r="AE498" s="163"/>
      <c r="AF498" s="163"/>
      <c r="AG498" s="163"/>
    </row>
    <row r="499" spans="21:33">
      <c r="U499" s="163"/>
      <c r="V499" s="163"/>
      <c r="W499" s="163"/>
      <c r="X499" s="163"/>
      <c r="Y499" s="163"/>
      <c r="Z499" s="163"/>
      <c r="AA499" s="163"/>
      <c r="AB499" s="163"/>
      <c r="AC499" s="163"/>
      <c r="AD499" s="163"/>
      <c r="AE499" s="163"/>
      <c r="AF499" s="163"/>
      <c r="AG499" s="163"/>
    </row>
    <row r="500" spans="21:33">
      <c r="U500" s="163"/>
      <c r="V500" s="163"/>
      <c r="W500" s="163"/>
      <c r="X500" s="163"/>
      <c r="Y500" s="163"/>
      <c r="Z500" s="163"/>
      <c r="AA500" s="163"/>
      <c r="AB500" s="163"/>
      <c r="AC500" s="163"/>
      <c r="AD500" s="163"/>
      <c r="AE500" s="163"/>
      <c r="AF500" s="163"/>
      <c r="AG500" s="163"/>
    </row>
    <row r="501" spans="21:33">
      <c r="U501" s="163"/>
      <c r="V501" s="163"/>
      <c r="W501" s="163"/>
      <c r="X501" s="163"/>
      <c r="Y501" s="163"/>
      <c r="Z501" s="163"/>
      <c r="AA501" s="163"/>
      <c r="AB501" s="163"/>
      <c r="AC501" s="163"/>
      <c r="AD501" s="163"/>
      <c r="AE501" s="163"/>
      <c r="AF501" s="163"/>
      <c r="AG501" s="163"/>
    </row>
    <row r="502" spans="21:33">
      <c r="U502" s="163"/>
      <c r="V502" s="163"/>
      <c r="W502" s="163"/>
      <c r="X502" s="163"/>
      <c r="Y502" s="163"/>
      <c r="Z502" s="163"/>
      <c r="AA502" s="163"/>
      <c r="AB502" s="163"/>
      <c r="AC502" s="163"/>
      <c r="AD502" s="163"/>
      <c r="AE502" s="163"/>
      <c r="AF502" s="163"/>
      <c r="AG502" s="163"/>
    </row>
    <row r="503" spans="21:33">
      <c r="U503" s="163"/>
      <c r="V503" s="163"/>
      <c r="W503" s="163"/>
      <c r="X503" s="163"/>
      <c r="Y503" s="163"/>
      <c r="Z503" s="163"/>
      <c r="AA503" s="163"/>
      <c r="AB503" s="163"/>
      <c r="AC503" s="163"/>
      <c r="AD503" s="163"/>
      <c r="AE503" s="163"/>
      <c r="AF503" s="163"/>
      <c r="AG503" s="163"/>
    </row>
    <row r="504" spans="21:33">
      <c r="U504" s="163"/>
      <c r="V504" s="163"/>
      <c r="W504" s="163"/>
      <c r="X504" s="163"/>
      <c r="Y504" s="163"/>
      <c r="Z504" s="163"/>
      <c r="AA504" s="163"/>
      <c r="AB504" s="163"/>
      <c r="AC504" s="163"/>
      <c r="AD504" s="163"/>
      <c r="AE504" s="163"/>
      <c r="AF504" s="163"/>
      <c r="AG504" s="163"/>
    </row>
    <row r="505" spans="21:33">
      <c r="U505" s="163"/>
      <c r="V505" s="163"/>
      <c r="W505" s="163"/>
      <c r="X505" s="163"/>
      <c r="Y505" s="163"/>
      <c r="Z505" s="163"/>
      <c r="AA505" s="163"/>
      <c r="AB505" s="163"/>
      <c r="AC505" s="163"/>
      <c r="AD505" s="163"/>
      <c r="AE505" s="163"/>
      <c r="AF505" s="163"/>
      <c r="AG505" s="163"/>
    </row>
    <row r="506" spans="21:33">
      <c r="U506" s="163"/>
      <c r="V506" s="163"/>
      <c r="W506" s="163"/>
      <c r="X506" s="163"/>
      <c r="Y506" s="163"/>
      <c r="Z506" s="163"/>
      <c r="AA506" s="163"/>
      <c r="AB506" s="163"/>
      <c r="AC506" s="163"/>
      <c r="AD506" s="163"/>
      <c r="AE506" s="163"/>
      <c r="AF506" s="163"/>
      <c r="AG506" s="163"/>
    </row>
    <row r="507" spans="21:33">
      <c r="U507" s="163"/>
      <c r="V507" s="163"/>
      <c r="W507" s="163"/>
      <c r="X507" s="163"/>
      <c r="Y507" s="163"/>
      <c r="Z507" s="163"/>
      <c r="AA507" s="163"/>
      <c r="AB507" s="163"/>
      <c r="AC507" s="163"/>
      <c r="AD507" s="163"/>
      <c r="AE507" s="163"/>
      <c r="AF507" s="163"/>
      <c r="AG507" s="163"/>
    </row>
    <row r="508" spans="21:33">
      <c r="U508" s="163"/>
      <c r="V508" s="163"/>
      <c r="W508" s="163"/>
      <c r="X508" s="163"/>
      <c r="Y508" s="163"/>
      <c r="Z508" s="163"/>
      <c r="AA508" s="163"/>
      <c r="AB508" s="163"/>
      <c r="AC508" s="163"/>
      <c r="AD508" s="163"/>
      <c r="AE508" s="163"/>
      <c r="AF508" s="163"/>
      <c r="AG508" s="163"/>
    </row>
    <row r="509" spans="21:33">
      <c r="U509" s="163"/>
      <c r="V509" s="163"/>
      <c r="W509" s="163"/>
      <c r="X509" s="163"/>
      <c r="Y509" s="163"/>
      <c r="Z509" s="163"/>
      <c r="AA509" s="163"/>
      <c r="AB509" s="163"/>
      <c r="AC509" s="163"/>
      <c r="AD509" s="163"/>
      <c r="AE509" s="163"/>
      <c r="AF509" s="163"/>
      <c r="AG509" s="163"/>
    </row>
    <row r="510" spans="21:33">
      <c r="U510" s="163"/>
      <c r="V510" s="163"/>
      <c r="W510" s="163"/>
      <c r="X510" s="163"/>
      <c r="Y510" s="163"/>
      <c r="Z510" s="163"/>
      <c r="AA510" s="163"/>
      <c r="AB510" s="163"/>
      <c r="AC510" s="163"/>
      <c r="AD510" s="163"/>
      <c r="AE510" s="163"/>
      <c r="AF510" s="163"/>
      <c r="AG510" s="163"/>
    </row>
    <row r="511" spans="21:33">
      <c r="U511" s="163"/>
      <c r="V511" s="163"/>
      <c r="W511" s="163"/>
      <c r="X511" s="163"/>
      <c r="Y511" s="163"/>
      <c r="Z511" s="163"/>
      <c r="AA511" s="163"/>
      <c r="AB511" s="163"/>
      <c r="AC511" s="163"/>
      <c r="AD511" s="163"/>
      <c r="AE511" s="163"/>
      <c r="AF511" s="163"/>
      <c r="AG511" s="163"/>
    </row>
    <row r="512" spans="21:33">
      <c r="U512" s="163"/>
      <c r="V512" s="163"/>
      <c r="W512" s="163"/>
      <c r="X512" s="163"/>
      <c r="Y512" s="163"/>
      <c r="Z512" s="163"/>
      <c r="AA512" s="163"/>
      <c r="AB512" s="163"/>
      <c r="AC512" s="163"/>
      <c r="AD512" s="163"/>
      <c r="AE512" s="163"/>
      <c r="AF512" s="163"/>
      <c r="AG512" s="163"/>
    </row>
    <row r="513" spans="21:33">
      <c r="U513" s="163"/>
      <c r="V513" s="163"/>
      <c r="W513" s="163"/>
      <c r="X513" s="163"/>
      <c r="Y513" s="163"/>
      <c r="Z513" s="163"/>
      <c r="AA513" s="163"/>
      <c r="AB513" s="163"/>
      <c r="AC513" s="163"/>
      <c r="AD513" s="163"/>
      <c r="AE513" s="163"/>
      <c r="AF513" s="163"/>
      <c r="AG513" s="163"/>
    </row>
    <row r="514" spans="21:33">
      <c r="U514" s="163"/>
      <c r="V514" s="163"/>
      <c r="W514" s="163"/>
      <c r="X514" s="163"/>
      <c r="Y514" s="163"/>
      <c r="Z514" s="163"/>
      <c r="AA514" s="163"/>
      <c r="AB514" s="163"/>
      <c r="AC514" s="163"/>
      <c r="AD514" s="163"/>
      <c r="AE514" s="163"/>
      <c r="AF514" s="163"/>
      <c r="AG514" s="163"/>
    </row>
    <row r="515" spans="21:33">
      <c r="U515" s="163"/>
      <c r="V515" s="163"/>
      <c r="W515" s="163"/>
      <c r="X515" s="163"/>
      <c r="Y515" s="163"/>
      <c r="Z515" s="163"/>
      <c r="AA515" s="163"/>
      <c r="AB515" s="163"/>
      <c r="AC515" s="163"/>
      <c r="AD515" s="163"/>
      <c r="AE515" s="163"/>
      <c r="AF515" s="163"/>
      <c r="AG515" s="163"/>
    </row>
    <row r="516" spans="21:33">
      <c r="U516" s="163"/>
      <c r="V516" s="163"/>
      <c r="W516" s="163"/>
      <c r="X516" s="163"/>
      <c r="Y516" s="163"/>
      <c r="Z516" s="163"/>
      <c r="AA516" s="163"/>
      <c r="AB516" s="163"/>
      <c r="AC516" s="163"/>
      <c r="AD516" s="163"/>
      <c r="AE516" s="163"/>
      <c r="AF516" s="163"/>
      <c r="AG516" s="163"/>
    </row>
    <row r="517" spans="21:33">
      <c r="U517" s="163"/>
      <c r="V517" s="163"/>
      <c r="W517" s="163"/>
      <c r="X517" s="163"/>
      <c r="Y517" s="163"/>
      <c r="Z517" s="163"/>
      <c r="AA517" s="163"/>
      <c r="AB517" s="163"/>
      <c r="AC517" s="163"/>
      <c r="AD517" s="163"/>
      <c r="AE517" s="163"/>
      <c r="AF517" s="163"/>
      <c r="AG517" s="163"/>
    </row>
    <row r="518" spans="21:33">
      <c r="U518" s="163"/>
      <c r="V518" s="163"/>
      <c r="W518" s="163"/>
      <c r="X518" s="163"/>
      <c r="Y518" s="163"/>
      <c r="Z518" s="163"/>
      <c r="AA518" s="163"/>
      <c r="AB518" s="163"/>
      <c r="AC518" s="163"/>
      <c r="AD518" s="163"/>
      <c r="AE518" s="163"/>
      <c r="AF518" s="163"/>
      <c r="AG518" s="163"/>
    </row>
    <row r="519" spans="21:33">
      <c r="U519" s="163"/>
      <c r="V519" s="163"/>
      <c r="W519" s="163"/>
      <c r="X519" s="163"/>
      <c r="Y519" s="163"/>
      <c r="Z519" s="163"/>
      <c r="AA519" s="163"/>
      <c r="AB519" s="163"/>
      <c r="AC519" s="163"/>
      <c r="AD519" s="163"/>
      <c r="AE519" s="163"/>
      <c r="AF519" s="163"/>
      <c r="AG519" s="163"/>
    </row>
    <row r="520" spans="21:33">
      <c r="U520" s="163"/>
      <c r="V520" s="163"/>
      <c r="W520" s="163"/>
      <c r="X520" s="163"/>
      <c r="Y520" s="163"/>
      <c r="Z520" s="163"/>
      <c r="AA520" s="163"/>
      <c r="AB520" s="163"/>
      <c r="AC520" s="163"/>
      <c r="AD520" s="163"/>
      <c r="AE520" s="163"/>
      <c r="AF520" s="163"/>
      <c r="AG520" s="163"/>
    </row>
    <row r="521" spans="21:33">
      <c r="U521" s="163"/>
      <c r="V521" s="163"/>
      <c r="W521" s="163"/>
      <c r="X521" s="163"/>
      <c r="Y521" s="163"/>
      <c r="Z521" s="163"/>
      <c r="AA521" s="163"/>
      <c r="AB521" s="163"/>
      <c r="AC521" s="163"/>
      <c r="AD521" s="163"/>
      <c r="AE521" s="163"/>
      <c r="AF521" s="163"/>
      <c r="AG521" s="163"/>
    </row>
    <row r="522" spans="21:33">
      <c r="U522" s="163"/>
      <c r="V522" s="163"/>
      <c r="W522" s="163"/>
      <c r="X522" s="163"/>
      <c r="Y522" s="163"/>
      <c r="Z522" s="163"/>
      <c r="AA522" s="163"/>
      <c r="AB522" s="163"/>
      <c r="AC522" s="163"/>
      <c r="AD522" s="163"/>
      <c r="AE522" s="163"/>
      <c r="AF522" s="163"/>
      <c r="AG522" s="163"/>
    </row>
    <row r="523" spans="21:33">
      <c r="U523" s="163"/>
      <c r="V523" s="163"/>
      <c r="W523" s="163"/>
      <c r="X523" s="163"/>
      <c r="Y523" s="163"/>
      <c r="Z523" s="163"/>
      <c r="AA523" s="163"/>
      <c r="AB523" s="163"/>
      <c r="AC523" s="163"/>
      <c r="AD523" s="163"/>
      <c r="AE523" s="163"/>
      <c r="AF523" s="163"/>
      <c r="AG523" s="163"/>
    </row>
    <row r="524" spans="21:33">
      <c r="U524" s="163"/>
      <c r="V524" s="163"/>
      <c r="W524" s="163"/>
      <c r="X524" s="163"/>
      <c r="Y524" s="163"/>
      <c r="Z524" s="163"/>
      <c r="AA524" s="163"/>
      <c r="AB524" s="163"/>
      <c r="AC524" s="163"/>
      <c r="AD524" s="163"/>
      <c r="AE524" s="163"/>
      <c r="AF524" s="163"/>
      <c r="AG524" s="163"/>
    </row>
    <row r="525" spans="21:33">
      <c r="U525" s="163"/>
      <c r="V525" s="163"/>
      <c r="W525" s="163"/>
      <c r="X525" s="163"/>
      <c r="Y525" s="163"/>
      <c r="Z525" s="163"/>
      <c r="AA525" s="163"/>
      <c r="AB525" s="163"/>
      <c r="AC525" s="163"/>
      <c r="AD525" s="163"/>
      <c r="AE525" s="163"/>
      <c r="AF525" s="163"/>
      <c r="AG525" s="163"/>
    </row>
    <row r="526" spans="21:33">
      <c r="U526" s="163"/>
      <c r="V526" s="163"/>
      <c r="W526" s="163"/>
      <c r="X526" s="163"/>
      <c r="Y526" s="163"/>
      <c r="Z526" s="163"/>
      <c r="AA526" s="163"/>
      <c r="AB526" s="163"/>
      <c r="AC526" s="163"/>
      <c r="AD526" s="163"/>
      <c r="AE526" s="163"/>
      <c r="AF526" s="163"/>
      <c r="AG526" s="163"/>
    </row>
    <row r="527" spans="21:33">
      <c r="U527" s="163"/>
      <c r="V527" s="163"/>
      <c r="W527" s="163"/>
      <c r="X527" s="163"/>
      <c r="Y527" s="163"/>
      <c r="Z527" s="163"/>
      <c r="AA527" s="163"/>
      <c r="AB527" s="163"/>
      <c r="AC527" s="163"/>
      <c r="AD527" s="163"/>
      <c r="AE527" s="163"/>
      <c r="AF527" s="163"/>
      <c r="AG527" s="163"/>
    </row>
    <row r="528" spans="21:33">
      <c r="U528" s="163"/>
      <c r="V528" s="163"/>
      <c r="W528" s="163"/>
      <c r="X528" s="163"/>
      <c r="Y528" s="163"/>
      <c r="Z528" s="163"/>
      <c r="AA528" s="163"/>
      <c r="AB528" s="163"/>
      <c r="AC528" s="163"/>
      <c r="AD528" s="163"/>
      <c r="AE528" s="163"/>
      <c r="AF528" s="163"/>
      <c r="AG528" s="163"/>
    </row>
    <row r="529" spans="21:33">
      <c r="U529" s="163"/>
      <c r="V529" s="163"/>
      <c r="W529" s="163"/>
      <c r="X529" s="163"/>
      <c r="Y529" s="163"/>
      <c r="Z529" s="163"/>
      <c r="AA529" s="163"/>
      <c r="AB529" s="163"/>
      <c r="AC529" s="163"/>
      <c r="AD529" s="163"/>
      <c r="AE529" s="163"/>
      <c r="AF529" s="163"/>
      <c r="AG529" s="163"/>
    </row>
    <row r="530" spans="21:33">
      <c r="U530" s="163"/>
      <c r="V530" s="163"/>
      <c r="W530" s="163"/>
      <c r="X530" s="163"/>
      <c r="Y530" s="163"/>
      <c r="Z530" s="163"/>
      <c r="AA530" s="163"/>
      <c r="AB530" s="163"/>
      <c r="AC530" s="163"/>
      <c r="AD530" s="163"/>
      <c r="AE530" s="163"/>
      <c r="AF530" s="163"/>
      <c r="AG530" s="163"/>
    </row>
    <row r="531" spans="21:33">
      <c r="U531" s="163"/>
      <c r="V531" s="163"/>
      <c r="W531" s="163"/>
      <c r="X531" s="163"/>
      <c r="Y531" s="163"/>
      <c r="Z531" s="163"/>
      <c r="AA531" s="163"/>
      <c r="AB531" s="163"/>
      <c r="AC531" s="163"/>
      <c r="AD531" s="163"/>
      <c r="AE531" s="163"/>
      <c r="AF531" s="163"/>
      <c r="AG531" s="163"/>
    </row>
    <row r="532" spans="21:33">
      <c r="U532" s="163"/>
      <c r="V532" s="163"/>
      <c r="W532" s="163"/>
      <c r="X532" s="163"/>
      <c r="Y532" s="163"/>
      <c r="Z532" s="163"/>
      <c r="AA532" s="163"/>
      <c r="AB532" s="163"/>
      <c r="AC532" s="163"/>
      <c r="AD532" s="163"/>
      <c r="AE532" s="163"/>
      <c r="AF532" s="163"/>
      <c r="AG532" s="163"/>
    </row>
    <row r="533" spans="21:33">
      <c r="U533" s="163"/>
      <c r="V533" s="163"/>
      <c r="W533" s="163"/>
      <c r="X533" s="163"/>
      <c r="Y533" s="163"/>
      <c r="Z533" s="163"/>
      <c r="AA533" s="163"/>
      <c r="AB533" s="163"/>
      <c r="AC533" s="163"/>
      <c r="AD533" s="163"/>
      <c r="AE533" s="163"/>
      <c r="AF533" s="163"/>
      <c r="AG533" s="163"/>
    </row>
    <row r="534" spans="21:33">
      <c r="U534" s="163"/>
      <c r="V534" s="163"/>
      <c r="W534" s="163"/>
      <c r="X534" s="163"/>
      <c r="Y534" s="163"/>
      <c r="Z534" s="163"/>
      <c r="AA534" s="163"/>
      <c r="AB534" s="163"/>
      <c r="AC534" s="163"/>
      <c r="AD534" s="163"/>
      <c r="AE534" s="163"/>
      <c r="AF534" s="163"/>
      <c r="AG534" s="163"/>
    </row>
    <row r="535" spans="21:33">
      <c r="U535" s="163"/>
      <c r="V535" s="163"/>
      <c r="W535" s="163"/>
      <c r="X535" s="163"/>
      <c r="Y535" s="163"/>
      <c r="Z535" s="163"/>
      <c r="AA535" s="163"/>
      <c r="AB535" s="163"/>
      <c r="AC535" s="163"/>
      <c r="AD535" s="163"/>
      <c r="AE535" s="163"/>
      <c r="AF535" s="163"/>
      <c r="AG535" s="163"/>
    </row>
    <row r="536" spans="21:33">
      <c r="U536" s="163"/>
      <c r="V536" s="163"/>
      <c r="W536" s="163"/>
      <c r="X536" s="163"/>
      <c r="Y536" s="163"/>
      <c r="Z536" s="163"/>
      <c r="AA536" s="163"/>
      <c r="AB536" s="163"/>
      <c r="AC536" s="163"/>
      <c r="AD536" s="163"/>
      <c r="AE536" s="163"/>
      <c r="AF536" s="163"/>
      <c r="AG536" s="163"/>
    </row>
    <row r="537" spans="21:33">
      <c r="U537" s="163"/>
      <c r="V537" s="163"/>
      <c r="W537" s="163"/>
      <c r="X537" s="163"/>
      <c r="Y537" s="163"/>
      <c r="Z537" s="163"/>
      <c r="AA537" s="163"/>
      <c r="AB537" s="163"/>
      <c r="AC537" s="163"/>
      <c r="AD537" s="163"/>
      <c r="AE537" s="163"/>
      <c r="AF537" s="163"/>
      <c r="AG537" s="163"/>
    </row>
    <row r="538" spans="21:33">
      <c r="U538" s="163"/>
      <c r="V538" s="163"/>
      <c r="W538" s="163"/>
      <c r="X538" s="163"/>
      <c r="Y538" s="163"/>
      <c r="Z538" s="163"/>
      <c r="AA538" s="163"/>
      <c r="AB538" s="163"/>
      <c r="AC538" s="163"/>
      <c r="AD538" s="163"/>
      <c r="AE538" s="163"/>
      <c r="AF538" s="163"/>
      <c r="AG538" s="163"/>
    </row>
    <row r="539" spans="21:33">
      <c r="U539" s="163"/>
      <c r="V539" s="163"/>
      <c r="W539" s="163"/>
      <c r="X539" s="163"/>
      <c r="Y539" s="163"/>
      <c r="Z539" s="163"/>
      <c r="AA539" s="163"/>
      <c r="AB539" s="163"/>
      <c r="AC539" s="163"/>
      <c r="AD539" s="163"/>
      <c r="AE539" s="163"/>
      <c r="AF539" s="163"/>
      <c r="AG539" s="163"/>
    </row>
    <row r="540" spans="21:33">
      <c r="U540" s="163"/>
      <c r="V540" s="163"/>
      <c r="W540" s="163"/>
      <c r="X540" s="163"/>
      <c r="Y540" s="163"/>
      <c r="Z540" s="163"/>
      <c r="AA540" s="163"/>
      <c r="AB540" s="163"/>
      <c r="AC540" s="163"/>
      <c r="AD540" s="163"/>
      <c r="AE540" s="163"/>
      <c r="AF540" s="163"/>
      <c r="AG540" s="163"/>
    </row>
    <row r="541" spans="21:33">
      <c r="U541" s="163"/>
      <c r="V541" s="163"/>
      <c r="W541" s="163"/>
      <c r="X541" s="163"/>
      <c r="Y541" s="163"/>
      <c r="Z541" s="163"/>
      <c r="AA541" s="163"/>
      <c r="AB541" s="163"/>
      <c r="AC541" s="163"/>
      <c r="AD541" s="163"/>
      <c r="AE541" s="163"/>
      <c r="AF541" s="163"/>
      <c r="AG541" s="163"/>
    </row>
    <row r="542" spans="21:33">
      <c r="U542" s="163"/>
      <c r="V542" s="163"/>
      <c r="W542" s="163"/>
      <c r="X542" s="163"/>
      <c r="Y542" s="163"/>
      <c r="Z542" s="163"/>
      <c r="AA542" s="163"/>
      <c r="AB542" s="163"/>
      <c r="AC542" s="163"/>
      <c r="AD542" s="163"/>
      <c r="AE542" s="163"/>
      <c r="AF542" s="163"/>
      <c r="AG542" s="163"/>
    </row>
    <row r="543" spans="21:33">
      <c r="U543" s="163"/>
      <c r="V543" s="163"/>
      <c r="W543" s="163"/>
      <c r="X543" s="163"/>
      <c r="Y543" s="163"/>
      <c r="Z543" s="163"/>
      <c r="AA543" s="163"/>
      <c r="AB543" s="163"/>
      <c r="AC543" s="163"/>
      <c r="AD543" s="163"/>
      <c r="AE543" s="163"/>
      <c r="AF543" s="163"/>
      <c r="AG543" s="163"/>
    </row>
    <row r="544" spans="21:33">
      <c r="U544" s="163"/>
      <c r="V544" s="163"/>
      <c r="W544" s="163"/>
      <c r="X544" s="163"/>
      <c r="Y544" s="163"/>
      <c r="Z544" s="163"/>
      <c r="AA544" s="163"/>
      <c r="AB544" s="163"/>
      <c r="AC544" s="163"/>
      <c r="AD544" s="163"/>
      <c r="AE544" s="163"/>
      <c r="AF544" s="163"/>
      <c r="AG544" s="163"/>
    </row>
    <row r="545" spans="21:33">
      <c r="U545" s="163"/>
      <c r="V545" s="163"/>
      <c r="W545" s="163"/>
      <c r="X545" s="163"/>
      <c r="Y545" s="163"/>
      <c r="Z545" s="163"/>
      <c r="AA545" s="163"/>
      <c r="AB545" s="163"/>
      <c r="AC545" s="163"/>
      <c r="AD545" s="163"/>
      <c r="AE545" s="163"/>
      <c r="AF545" s="163"/>
      <c r="AG545" s="163"/>
    </row>
    <row r="546" spans="21:33">
      <c r="U546" s="163"/>
      <c r="V546" s="163"/>
      <c r="W546" s="163"/>
      <c r="X546" s="163"/>
      <c r="Y546" s="163"/>
      <c r="Z546" s="163"/>
      <c r="AA546" s="163"/>
      <c r="AB546" s="163"/>
      <c r="AC546" s="163"/>
      <c r="AD546" s="163"/>
      <c r="AE546" s="163"/>
      <c r="AF546" s="163"/>
      <c r="AG546" s="163"/>
    </row>
    <row r="547" spans="21:33">
      <c r="U547" s="163"/>
      <c r="V547" s="163"/>
      <c r="W547" s="163"/>
      <c r="X547" s="163"/>
      <c r="Y547" s="163"/>
      <c r="Z547" s="163"/>
      <c r="AA547" s="163"/>
      <c r="AB547" s="163"/>
      <c r="AC547" s="163"/>
      <c r="AD547" s="163"/>
      <c r="AE547" s="163"/>
      <c r="AF547" s="163"/>
      <c r="AG547" s="163"/>
    </row>
    <row r="548" spans="21:33">
      <c r="U548" s="163"/>
      <c r="V548" s="163"/>
      <c r="W548" s="163"/>
      <c r="X548" s="163"/>
      <c r="Y548" s="163"/>
      <c r="Z548" s="163"/>
      <c r="AA548" s="163"/>
      <c r="AB548" s="163"/>
      <c r="AC548" s="163"/>
      <c r="AD548" s="163"/>
      <c r="AE548" s="163"/>
      <c r="AF548" s="163"/>
      <c r="AG548" s="163"/>
    </row>
    <row r="549" spans="21:33">
      <c r="U549" s="163"/>
      <c r="V549" s="163"/>
      <c r="W549" s="163"/>
      <c r="X549" s="163"/>
      <c r="Y549" s="163"/>
      <c r="Z549" s="163"/>
      <c r="AA549" s="163"/>
      <c r="AB549" s="163"/>
      <c r="AC549" s="163"/>
      <c r="AD549" s="163"/>
      <c r="AE549" s="163"/>
      <c r="AF549" s="163"/>
      <c r="AG549" s="163"/>
    </row>
    <row r="550" spans="21:33">
      <c r="U550" s="163"/>
      <c r="V550" s="163"/>
      <c r="W550" s="163"/>
      <c r="X550" s="163"/>
      <c r="Y550" s="163"/>
      <c r="Z550" s="163"/>
      <c r="AA550" s="163"/>
      <c r="AB550" s="163"/>
      <c r="AC550" s="163"/>
      <c r="AD550" s="163"/>
      <c r="AE550" s="163"/>
      <c r="AF550" s="163"/>
      <c r="AG550" s="163"/>
    </row>
    <row r="551" spans="21:33">
      <c r="U551" s="163"/>
      <c r="V551" s="163"/>
      <c r="W551" s="163"/>
      <c r="X551" s="163"/>
      <c r="Y551" s="163"/>
      <c r="Z551" s="163"/>
      <c r="AA551" s="163"/>
      <c r="AB551" s="163"/>
      <c r="AC551" s="163"/>
      <c r="AD551" s="163"/>
      <c r="AE551" s="163"/>
      <c r="AF551" s="163"/>
      <c r="AG551" s="163"/>
    </row>
    <row r="552" spans="21:33">
      <c r="U552" s="163"/>
      <c r="V552" s="163"/>
      <c r="W552" s="163"/>
      <c r="X552" s="163"/>
      <c r="Y552" s="163"/>
      <c r="Z552" s="163"/>
      <c r="AA552" s="163"/>
      <c r="AB552" s="163"/>
      <c r="AC552" s="163"/>
      <c r="AD552" s="163"/>
      <c r="AE552" s="163"/>
      <c r="AF552" s="163"/>
      <c r="AG552" s="163"/>
    </row>
    <row r="553" spans="21:33">
      <c r="U553" s="163"/>
      <c r="V553" s="163"/>
      <c r="W553" s="163"/>
      <c r="X553" s="163"/>
      <c r="Y553" s="163"/>
      <c r="Z553" s="163"/>
      <c r="AA553" s="163"/>
      <c r="AB553" s="163"/>
      <c r="AC553" s="163"/>
      <c r="AD553" s="163"/>
      <c r="AE553" s="163"/>
      <c r="AF553" s="163"/>
      <c r="AG553" s="163"/>
    </row>
    <row r="554" spans="21:33">
      <c r="U554" s="163"/>
      <c r="V554" s="163"/>
      <c r="W554" s="163"/>
      <c r="X554" s="163"/>
      <c r="Y554" s="163"/>
      <c r="Z554" s="163"/>
      <c r="AA554" s="163"/>
      <c r="AB554" s="163"/>
      <c r="AC554" s="163"/>
      <c r="AD554" s="163"/>
      <c r="AE554" s="163"/>
      <c r="AF554" s="163"/>
      <c r="AG554" s="163"/>
    </row>
    <row r="555" spans="21:33">
      <c r="U555" s="163"/>
      <c r="V555" s="163"/>
      <c r="W555" s="163"/>
      <c r="X555" s="163"/>
      <c r="Y555" s="163"/>
      <c r="Z555" s="163"/>
      <c r="AA555" s="163"/>
      <c r="AB555" s="163"/>
      <c r="AC555" s="163"/>
      <c r="AD555" s="163"/>
      <c r="AE555" s="163"/>
      <c r="AF555" s="163"/>
      <c r="AG555" s="163"/>
    </row>
    <row r="556" spans="21:33">
      <c r="U556" s="163"/>
      <c r="V556" s="163"/>
      <c r="W556" s="163"/>
      <c r="X556" s="163"/>
      <c r="Y556" s="163"/>
      <c r="Z556" s="163"/>
      <c r="AA556" s="163"/>
      <c r="AB556" s="163"/>
      <c r="AC556" s="163"/>
      <c r="AD556" s="163"/>
      <c r="AE556" s="163"/>
      <c r="AF556" s="163"/>
      <c r="AG556" s="163"/>
    </row>
    <row r="557" spans="21:33">
      <c r="U557" s="163"/>
      <c r="V557" s="163"/>
      <c r="W557" s="163"/>
      <c r="X557" s="163"/>
      <c r="Y557" s="163"/>
      <c r="Z557" s="163"/>
      <c r="AA557" s="163"/>
      <c r="AB557" s="163"/>
      <c r="AC557" s="163"/>
      <c r="AD557" s="163"/>
      <c r="AE557" s="163"/>
      <c r="AF557" s="163"/>
      <c r="AG557" s="163"/>
    </row>
    <row r="558" spans="21:33">
      <c r="U558" s="163"/>
      <c r="V558" s="163"/>
      <c r="W558" s="163"/>
      <c r="X558" s="163"/>
      <c r="Y558" s="163"/>
      <c r="Z558" s="163"/>
      <c r="AA558" s="163"/>
      <c r="AB558" s="163"/>
      <c r="AC558" s="163"/>
      <c r="AD558" s="163"/>
      <c r="AE558" s="163"/>
      <c r="AF558" s="163"/>
      <c r="AG558" s="163"/>
    </row>
    <row r="559" spans="21:33">
      <c r="U559" s="163"/>
      <c r="V559" s="163"/>
      <c r="W559" s="163"/>
      <c r="X559" s="163"/>
      <c r="Y559" s="163"/>
      <c r="Z559" s="163"/>
      <c r="AA559" s="163"/>
      <c r="AB559" s="163"/>
      <c r="AC559" s="163"/>
      <c r="AD559" s="163"/>
      <c r="AE559" s="163"/>
      <c r="AF559" s="163"/>
      <c r="AG559" s="163"/>
    </row>
    <row r="560" spans="21:33">
      <c r="U560" s="163"/>
      <c r="V560" s="163"/>
      <c r="W560" s="163"/>
      <c r="X560" s="163"/>
      <c r="Y560" s="163"/>
      <c r="Z560" s="163"/>
      <c r="AA560" s="163"/>
      <c r="AB560" s="163"/>
      <c r="AC560" s="163"/>
      <c r="AD560" s="163"/>
      <c r="AE560" s="163"/>
      <c r="AF560" s="163"/>
      <c r="AG560" s="163"/>
    </row>
    <row r="561" spans="21:33">
      <c r="U561" s="163"/>
      <c r="V561" s="163"/>
      <c r="W561" s="163"/>
      <c r="X561" s="163"/>
      <c r="Y561" s="163"/>
      <c r="Z561" s="163"/>
      <c r="AA561" s="163"/>
      <c r="AB561" s="163"/>
      <c r="AC561" s="163"/>
      <c r="AD561" s="163"/>
      <c r="AE561" s="163"/>
      <c r="AF561" s="163"/>
      <c r="AG561" s="163"/>
    </row>
    <row r="562" spans="21:33">
      <c r="U562" s="163"/>
      <c r="V562" s="163"/>
      <c r="W562" s="163"/>
      <c r="X562" s="163"/>
      <c r="Y562" s="163"/>
      <c r="Z562" s="163"/>
      <c r="AA562" s="163"/>
      <c r="AB562" s="163"/>
      <c r="AC562" s="163"/>
      <c r="AD562" s="163"/>
      <c r="AE562" s="163"/>
      <c r="AF562" s="163"/>
      <c r="AG562" s="163"/>
    </row>
    <row r="563" spans="21:33">
      <c r="U563" s="163"/>
      <c r="V563" s="163"/>
      <c r="W563" s="163"/>
      <c r="X563" s="163"/>
      <c r="Y563" s="163"/>
      <c r="Z563" s="163"/>
      <c r="AA563" s="163"/>
      <c r="AB563" s="163"/>
      <c r="AC563" s="163"/>
      <c r="AD563" s="163"/>
      <c r="AE563" s="163"/>
      <c r="AF563" s="163"/>
      <c r="AG563" s="163"/>
    </row>
    <row r="564" spans="21:33">
      <c r="U564" s="163"/>
      <c r="V564" s="163"/>
      <c r="W564" s="163"/>
      <c r="X564" s="163"/>
      <c r="Y564" s="163"/>
      <c r="Z564" s="163"/>
      <c r="AA564" s="163"/>
      <c r="AB564" s="163"/>
      <c r="AC564" s="163"/>
      <c r="AD564" s="163"/>
      <c r="AE564" s="163"/>
      <c r="AF564" s="163"/>
      <c r="AG564" s="163"/>
    </row>
    <row r="565" spans="21:33">
      <c r="U565" s="163"/>
      <c r="V565" s="163"/>
      <c r="W565" s="163"/>
      <c r="X565" s="163"/>
      <c r="Y565" s="163"/>
      <c r="Z565" s="163"/>
      <c r="AA565" s="163"/>
      <c r="AB565" s="163"/>
      <c r="AC565" s="163"/>
      <c r="AD565" s="163"/>
      <c r="AE565" s="163"/>
      <c r="AF565" s="163"/>
      <c r="AG565" s="163"/>
    </row>
    <row r="566" spans="21:33">
      <c r="U566" s="163"/>
      <c r="V566" s="163"/>
      <c r="W566" s="163"/>
      <c r="X566" s="163"/>
      <c r="Y566" s="163"/>
      <c r="Z566" s="163"/>
      <c r="AA566" s="163"/>
      <c r="AB566" s="163"/>
      <c r="AC566" s="163"/>
      <c r="AD566" s="163"/>
      <c r="AE566" s="163"/>
      <c r="AF566" s="163"/>
      <c r="AG566" s="163"/>
    </row>
    <row r="567" spans="21:33">
      <c r="U567" s="163"/>
      <c r="V567" s="163"/>
      <c r="W567" s="163"/>
      <c r="X567" s="163"/>
      <c r="Y567" s="163"/>
      <c r="Z567" s="163"/>
      <c r="AA567" s="163"/>
      <c r="AB567" s="163"/>
      <c r="AC567" s="163"/>
      <c r="AD567" s="163"/>
      <c r="AE567" s="163"/>
      <c r="AF567" s="163"/>
      <c r="AG567" s="163"/>
    </row>
    <row r="568" spans="21:33">
      <c r="U568" s="163"/>
      <c r="V568" s="163"/>
      <c r="W568" s="163"/>
      <c r="X568" s="163"/>
      <c r="Y568" s="163"/>
      <c r="Z568" s="163"/>
      <c r="AA568" s="163"/>
      <c r="AB568" s="163"/>
      <c r="AC568" s="163"/>
      <c r="AD568" s="163"/>
      <c r="AE568" s="163"/>
      <c r="AF568" s="163"/>
      <c r="AG568" s="163"/>
    </row>
    <row r="569" spans="21:33">
      <c r="U569" s="163"/>
      <c r="V569" s="163"/>
      <c r="W569" s="163"/>
      <c r="X569" s="163"/>
      <c r="Y569" s="163"/>
      <c r="Z569" s="163"/>
      <c r="AA569" s="163"/>
      <c r="AB569" s="163"/>
      <c r="AC569" s="163"/>
      <c r="AD569" s="163"/>
      <c r="AE569" s="163"/>
      <c r="AF569" s="163"/>
      <c r="AG569" s="163"/>
    </row>
    <row r="570" spans="21:33">
      <c r="U570" s="163"/>
      <c r="V570" s="163"/>
      <c r="W570" s="163"/>
      <c r="X570" s="163"/>
      <c r="Y570" s="163"/>
      <c r="Z570" s="163"/>
      <c r="AA570" s="163"/>
      <c r="AB570" s="163"/>
      <c r="AC570" s="163"/>
      <c r="AD570" s="163"/>
      <c r="AE570" s="163"/>
      <c r="AF570" s="163"/>
      <c r="AG570" s="163"/>
    </row>
    <row r="571" spans="21:33">
      <c r="U571" s="163"/>
      <c r="V571" s="163"/>
      <c r="W571" s="163"/>
      <c r="X571" s="163"/>
      <c r="Y571" s="163"/>
      <c r="Z571" s="163"/>
      <c r="AA571" s="163"/>
      <c r="AB571" s="163"/>
      <c r="AC571" s="163"/>
      <c r="AD571" s="163"/>
      <c r="AE571" s="163"/>
      <c r="AF571" s="163"/>
      <c r="AG571" s="163"/>
    </row>
    <row r="572" spans="21:33">
      <c r="U572" s="163"/>
      <c r="V572" s="163"/>
      <c r="W572" s="163"/>
      <c r="X572" s="163"/>
      <c r="Y572" s="163"/>
      <c r="Z572" s="163"/>
      <c r="AA572" s="163"/>
      <c r="AB572" s="163"/>
      <c r="AC572" s="163"/>
      <c r="AD572" s="163"/>
      <c r="AE572" s="163"/>
      <c r="AF572" s="163"/>
      <c r="AG572" s="163"/>
    </row>
    <row r="573" spans="21:33">
      <c r="U573" s="163"/>
      <c r="V573" s="163"/>
      <c r="W573" s="163"/>
      <c r="X573" s="163"/>
      <c r="Y573" s="163"/>
      <c r="Z573" s="163"/>
      <c r="AA573" s="163"/>
      <c r="AB573" s="163"/>
      <c r="AC573" s="163"/>
      <c r="AD573" s="163"/>
      <c r="AE573" s="163"/>
      <c r="AF573" s="163"/>
      <c r="AG573" s="163"/>
    </row>
    <row r="574" spans="21:33">
      <c r="U574" s="163"/>
      <c r="V574" s="163"/>
      <c r="W574" s="163"/>
      <c r="X574" s="163"/>
      <c r="Y574" s="163"/>
      <c r="Z574" s="163"/>
      <c r="AA574" s="163"/>
      <c r="AB574" s="163"/>
      <c r="AC574" s="163"/>
      <c r="AD574" s="163"/>
      <c r="AE574" s="163"/>
      <c r="AF574" s="163"/>
      <c r="AG574" s="163"/>
    </row>
    <row r="575" spans="21:33">
      <c r="U575" s="163"/>
      <c r="V575" s="163"/>
      <c r="W575" s="163"/>
      <c r="X575" s="163"/>
      <c r="Y575" s="163"/>
      <c r="Z575" s="163"/>
      <c r="AA575" s="163"/>
      <c r="AB575" s="163"/>
      <c r="AC575" s="163"/>
      <c r="AD575" s="163"/>
      <c r="AE575" s="163"/>
      <c r="AF575" s="163"/>
      <c r="AG575" s="163"/>
    </row>
    <row r="576" spans="21:33">
      <c r="U576" s="163"/>
      <c r="V576" s="163"/>
      <c r="W576" s="163"/>
      <c r="X576" s="163"/>
      <c r="Y576" s="163"/>
      <c r="Z576" s="163"/>
      <c r="AA576" s="163"/>
      <c r="AB576" s="163"/>
      <c r="AC576" s="163"/>
      <c r="AD576" s="163"/>
      <c r="AE576" s="163"/>
      <c r="AF576" s="163"/>
      <c r="AG576" s="163"/>
    </row>
    <row r="577" spans="21:33">
      <c r="U577" s="163"/>
      <c r="V577" s="163"/>
      <c r="W577" s="163"/>
      <c r="X577" s="163"/>
      <c r="Y577" s="163"/>
      <c r="Z577" s="163"/>
      <c r="AA577" s="163"/>
      <c r="AB577" s="163"/>
      <c r="AC577" s="163"/>
      <c r="AD577" s="163"/>
      <c r="AE577" s="163"/>
      <c r="AF577" s="163"/>
      <c r="AG577" s="163"/>
    </row>
    <row r="578" spans="21:33">
      <c r="U578" s="163"/>
      <c r="V578" s="163"/>
      <c r="W578" s="163"/>
      <c r="X578" s="163"/>
      <c r="Y578" s="163"/>
      <c r="Z578" s="163"/>
      <c r="AA578" s="163"/>
      <c r="AB578" s="163"/>
      <c r="AC578" s="163"/>
      <c r="AD578" s="163"/>
      <c r="AE578" s="163"/>
      <c r="AF578" s="163"/>
      <c r="AG578" s="163"/>
    </row>
    <row r="579" spans="21:33">
      <c r="U579" s="163"/>
      <c r="V579" s="163"/>
      <c r="W579" s="163"/>
      <c r="X579" s="163"/>
      <c r="Y579" s="163"/>
      <c r="Z579" s="163"/>
      <c r="AA579" s="163"/>
      <c r="AB579" s="163"/>
      <c r="AC579" s="163"/>
      <c r="AD579" s="163"/>
      <c r="AE579" s="163"/>
      <c r="AF579" s="163"/>
      <c r="AG579" s="163"/>
    </row>
    <row r="580" spans="21:33">
      <c r="U580" s="163"/>
      <c r="V580" s="163"/>
      <c r="W580" s="163"/>
      <c r="X580" s="163"/>
      <c r="Y580" s="163"/>
      <c r="Z580" s="163"/>
      <c r="AA580" s="163"/>
      <c r="AB580" s="163"/>
      <c r="AC580" s="163"/>
      <c r="AD580" s="163"/>
      <c r="AE580" s="163"/>
      <c r="AF580" s="163"/>
      <c r="AG580" s="163"/>
    </row>
    <row r="581" spans="21:33">
      <c r="U581" s="163"/>
      <c r="V581" s="163"/>
      <c r="W581" s="163"/>
      <c r="X581" s="163"/>
      <c r="Y581" s="163"/>
      <c r="Z581" s="163"/>
      <c r="AA581" s="163"/>
      <c r="AB581" s="163"/>
      <c r="AC581" s="163"/>
      <c r="AD581" s="163"/>
      <c r="AE581" s="163"/>
      <c r="AF581" s="163"/>
      <c r="AG581" s="163"/>
    </row>
    <row r="582" spans="21:33">
      <c r="U582" s="163"/>
      <c r="V582" s="163"/>
      <c r="W582" s="163"/>
      <c r="X582" s="163"/>
      <c r="Y582" s="163"/>
      <c r="Z582" s="163"/>
      <c r="AA582" s="163"/>
      <c r="AB582" s="163"/>
      <c r="AC582" s="163"/>
      <c r="AD582" s="163"/>
      <c r="AE582" s="163"/>
      <c r="AF582" s="163"/>
      <c r="AG582" s="163"/>
    </row>
    <row r="583" spans="21:33">
      <c r="U583" s="163"/>
      <c r="V583" s="163"/>
      <c r="W583" s="163"/>
      <c r="X583" s="163"/>
      <c r="Y583" s="163"/>
      <c r="Z583" s="163"/>
      <c r="AA583" s="163"/>
      <c r="AB583" s="163"/>
      <c r="AC583" s="163"/>
      <c r="AD583" s="163"/>
      <c r="AE583" s="163"/>
      <c r="AF583" s="163"/>
      <c r="AG583" s="163"/>
    </row>
    <row r="584" spans="21:33">
      <c r="U584" s="163"/>
      <c r="V584" s="163"/>
      <c r="W584" s="163"/>
      <c r="X584" s="163"/>
      <c r="Y584" s="163"/>
      <c r="Z584" s="163"/>
      <c r="AA584" s="163"/>
      <c r="AB584" s="163"/>
      <c r="AC584" s="163"/>
      <c r="AD584" s="163"/>
      <c r="AE584" s="163"/>
      <c r="AF584" s="163"/>
      <c r="AG584" s="163"/>
    </row>
    <row r="585" spans="21:33">
      <c r="U585" s="163"/>
      <c r="V585" s="163"/>
      <c r="W585" s="163"/>
      <c r="X585" s="163"/>
      <c r="Y585" s="163"/>
      <c r="Z585" s="163"/>
      <c r="AA585" s="163"/>
      <c r="AB585" s="163"/>
      <c r="AC585" s="163"/>
      <c r="AD585" s="163"/>
      <c r="AE585" s="163"/>
      <c r="AF585" s="163"/>
      <c r="AG585" s="163"/>
    </row>
    <row r="586" spans="21:33">
      <c r="U586" s="163"/>
      <c r="V586" s="163"/>
      <c r="W586" s="163"/>
      <c r="X586" s="163"/>
      <c r="Y586" s="163"/>
      <c r="Z586" s="163"/>
      <c r="AA586" s="163"/>
      <c r="AB586" s="163"/>
      <c r="AC586" s="163"/>
      <c r="AD586" s="163"/>
      <c r="AE586" s="163"/>
      <c r="AF586" s="163"/>
      <c r="AG586" s="163"/>
    </row>
    <row r="587" spans="21:33">
      <c r="U587" s="163"/>
      <c r="V587" s="163"/>
      <c r="W587" s="163"/>
      <c r="X587" s="163"/>
      <c r="Y587" s="163"/>
      <c r="Z587" s="163"/>
      <c r="AA587" s="163"/>
      <c r="AB587" s="163"/>
      <c r="AC587" s="163"/>
      <c r="AD587" s="163"/>
      <c r="AE587" s="163"/>
      <c r="AF587" s="163"/>
      <c r="AG587" s="163"/>
    </row>
    <row r="588" spans="21:33">
      <c r="U588" s="163"/>
      <c r="V588" s="163"/>
      <c r="W588" s="163"/>
      <c r="X588" s="163"/>
      <c r="Y588" s="163"/>
      <c r="Z588" s="163"/>
      <c r="AA588" s="163"/>
      <c r="AB588" s="163"/>
      <c r="AC588" s="163"/>
      <c r="AD588" s="163"/>
      <c r="AE588" s="163"/>
      <c r="AF588" s="163"/>
      <c r="AG588" s="163"/>
    </row>
    <row r="589" spans="21:33">
      <c r="U589" s="163"/>
      <c r="V589" s="163"/>
      <c r="W589" s="163"/>
      <c r="X589" s="163"/>
      <c r="Y589" s="163"/>
      <c r="Z589" s="163"/>
      <c r="AA589" s="163"/>
      <c r="AB589" s="163"/>
      <c r="AC589" s="163"/>
      <c r="AD589" s="163"/>
      <c r="AE589" s="163"/>
      <c r="AF589" s="163"/>
      <c r="AG589" s="163"/>
    </row>
    <row r="590" spans="21:33">
      <c r="U590" s="163"/>
      <c r="V590" s="163"/>
      <c r="W590" s="163"/>
      <c r="X590" s="163"/>
      <c r="Y590" s="163"/>
      <c r="Z590" s="163"/>
      <c r="AA590" s="163"/>
      <c r="AB590" s="163"/>
      <c r="AC590" s="163"/>
      <c r="AD590" s="163"/>
      <c r="AE590" s="163"/>
      <c r="AF590" s="163"/>
      <c r="AG590" s="163"/>
    </row>
    <row r="591" spans="21:33">
      <c r="U591" s="163"/>
      <c r="V591" s="163"/>
      <c r="W591" s="163"/>
      <c r="X591" s="163"/>
      <c r="Y591" s="163"/>
      <c r="Z591" s="163"/>
      <c r="AA591" s="163"/>
      <c r="AB591" s="163"/>
      <c r="AC591" s="163"/>
      <c r="AD591" s="163"/>
      <c r="AE591" s="163"/>
      <c r="AF591" s="163"/>
      <c r="AG591" s="163"/>
    </row>
    <row r="592" spans="21:33">
      <c r="U592" s="163"/>
      <c r="V592" s="163"/>
      <c r="W592" s="163"/>
      <c r="X592" s="163"/>
      <c r="Y592" s="163"/>
      <c r="Z592" s="163"/>
      <c r="AA592" s="163"/>
      <c r="AB592" s="163"/>
      <c r="AC592" s="163"/>
      <c r="AD592" s="163"/>
      <c r="AE592" s="163"/>
      <c r="AF592" s="163"/>
      <c r="AG592" s="163"/>
    </row>
    <row r="593" spans="21:33">
      <c r="U593" s="163"/>
      <c r="V593" s="163"/>
      <c r="W593" s="163"/>
      <c r="X593" s="163"/>
      <c r="Y593" s="163"/>
      <c r="Z593" s="163"/>
      <c r="AA593" s="163"/>
      <c r="AB593" s="163"/>
      <c r="AC593" s="163"/>
      <c r="AD593" s="163"/>
      <c r="AE593" s="163"/>
      <c r="AF593" s="163"/>
      <c r="AG593" s="163"/>
    </row>
    <row r="594" spans="21:33">
      <c r="U594" s="163"/>
      <c r="V594" s="163"/>
      <c r="W594" s="163"/>
      <c r="X594" s="163"/>
      <c r="Y594" s="163"/>
      <c r="Z594" s="163"/>
      <c r="AA594" s="163"/>
      <c r="AB594" s="163"/>
      <c r="AC594" s="163"/>
      <c r="AD594" s="163"/>
      <c r="AE594" s="163"/>
      <c r="AF594" s="163"/>
      <c r="AG594" s="163"/>
    </row>
    <row r="595" spans="21:33">
      <c r="U595" s="163"/>
      <c r="V595" s="163"/>
      <c r="W595" s="163"/>
      <c r="X595" s="163"/>
      <c r="Y595" s="163"/>
      <c r="Z595" s="163"/>
      <c r="AA595" s="163"/>
      <c r="AB595" s="163"/>
      <c r="AC595" s="163"/>
      <c r="AD595" s="163"/>
      <c r="AE595" s="163"/>
      <c r="AF595" s="163"/>
      <c r="AG595" s="163"/>
    </row>
    <row r="596" spans="21:33">
      <c r="U596" s="163"/>
      <c r="V596" s="163"/>
      <c r="W596" s="163"/>
      <c r="X596" s="163"/>
      <c r="Y596" s="163"/>
      <c r="Z596" s="163"/>
      <c r="AA596" s="163"/>
      <c r="AB596" s="163"/>
      <c r="AC596" s="163"/>
      <c r="AD596" s="163"/>
      <c r="AE596" s="163"/>
      <c r="AF596" s="163"/>
      <c r="AG596" s="163"/>
    </row>
    <row r="597" spans="21:33">
      <c r="U597" s="163"/>
      <c r="V597" s="163"/>
      <c r="W597" s="163"/>
      <c r="X597" s="163"/>
      <c r="Y597" s="163"/>
      <c r="Z597" s="163"/>
      <c r="AA597" s="163"/>
      <c r="AB597" s="163"/>
      <c r="AC597" s="163"/>
      <c r="AD597" s="163"/>
      <c r="AE597" s="163"/>
      <c r="AF597" s="163"/>
      <c r="AG597" s="163"/>
    </row>
    <row r="598" spans="21:33">
      <c r="U598" s="163"/>
      <c r="V598" s="163"/>
      <c r="W598" s="163"/>
      <c r="X598" s="163"/>
      <c r="Y598" s="163"/>
      <c r="Z598" s="163"/>
      <c r="AA598" s="163"/>
      <c r="AB598" s="163"/>
      <c r="AC598" s="163"/>
      <c r="AD598" s="163"/>
      <c r="AE598" s="163"/>
      <c r="AF598" s="163"/>
      <c r="AG598" s="163"/>
    </row>
    <row r="599" spans="21:33">
      <c r="U599" s="163"/>
      <c r="V599" s="163"/>
      <c r="W599" s="163"/>
      <c r="X599" s="163"/>
      <c r="Y599" s="163"/>
      <c r="Z599" s="163"/>
      <c r="AA599" s="163"/>
      <c r="AB599" s="163"/>
      <c r="AC599" s="163"/>
      <c r="AD599" s="163"/>
      <c r="AE599" s="163"/>
      <c r="AF599" s="163"/>
      <c r="AG599" s="163"/>
    </row>
    <row r="600" spans="21:33">
      <c r="U600" s="163"/>
      <c r="V600" s="163"/>
      <c r="W600" s="163"/>
      <c r="X600" s="163"/>
      <c r="Y600" s="163"/>
      <c r="Z600" s="163"/>
      <c r="AA600" s="163"/>
      <c r="AB600" s="163"/>
      <c r="AC600" s="163"/>
      <c r="AD600" s="163"/>
      <c r="AE600" s="163"/>
      <c r="AF600" s="163"/>
      <c r="AG600" s="163"/>
    </row>
    <row r="601" spans="21:33">
      <c r="U601" s="163"/>
      <c r="V601" s="163"/>
      <c r="W601" s="163"/>
      <c r="X601" s="163"/>
      <c r="Y601" s="163"/>
      <c r="Z601" s="163"/>
      <c r="AA601" s="163"/>
      <c r="AB601" s="163"/>
      <c r="AC601" s="163"/>
      <c r="AD601" s="163"/>
      <c r="AE601" s="163"/>
      <c r="AF601" s="163"/>
      <c r="AG601" s="163"/>
    </row>
    <row r="602" spans="21:33">
      <c r="U602" s="163"/>
      <c r="V602" s="163"/>
      <c r="W602" s="163"/>
      <c r="X602" s="163"/>
      <c r="Y602" s="163"/>
      <c r="Z602" s="163"/>
      <c r="AA602" s="163"/>
      <c r="AB602" s="163"/>
      <c r="AC602" s="163"/>
      <c r="AD602" s="163"/>
      <c r="AE602" s="163"/>
      <c r="AF602" s="163"/>
      <c r="AG602" s="163"/>
    </row>
    <row r="603" spans="21:33">
      <c r="U603" s="163"/>
      <c r="V603" s="163"/>
      <c r="W603" s="163"/>
      <c r="X603" s="163"/>
      <c r="Y603" s="163"/>
      <c r="Z603" s="163"/>
      <c r="AA603" s="163"/>
      <c r="AB603" s="163"/>
      <c r="AC603" s="163"/>
      <c r="AD603" s="163"/>
      <c r="AE603" s="163"/>
      <c r="AF603" s="163"/>
      <c r="AG603" s="163"/>
    </row>
    <row r="604" spans="21:33">
      <c r="U604" s="163"/>
      <c r="V604" s="163"/>
      <c r="W604" s="163"/>
      <c r="X604" s="163"/>
      <c r="Y604" s="163"/>
      <c r="Z604" s="163"/>
      <c r="AA604" s="163"/>
      <c r="AB604" s="163"/>
      <c r="AC604" s="163"/>
      <c r="AD604" s="163"/>
      <c r="AE604" s="163"/>
      <c r="AF604" s="163"/>
      <c r="AG604" s="163"/>
    </row>
    <row r="605" spans="21:33">
      <c r="U605" s="163"/>
      <c r="V605" s="163"/>
      <c r="W605" s="163"/>
      <c r="X605" s="163"/>
      <c r="Y605" s="163"/>
      <c r="Z605" s="163"/>
      <c r="AA605" s="163"/>
      <c r="AB605" s="163"/>
      <c r="AC605" s="163"/>
      <c r="AD605" s="163"/>
      <c r="AE605" s="163"/>
      <c r="AF605" s="163"/>
      <c r="AG605" s="163"/>
    </row>
    <row r="606" spans="21:33">
      <c r="U606" s="163"/>
      <c r="V606" s="163"/>
      <c r="W606" s="163"/>
      <c r="X606" s="163"/>
      <c r="Y606" s="163"/>
      <c r="Z606" s="163"/>
      <c r="AA606" s="163"/>
      <c r="AB606" s="163"/>
      <c r="AC606" s="163"/>
      <c r="AD606" s="163"/>
      <c r="AE606" s="163"/>
      <c r="AF606" s="163"/>
      <c r="AG606" s="163"/>
    </row>
    <row r="607" spans="21:33">
      <c r="U607" s="163"/>
      <c r="V607" s="163"/>
      <c r="W607" s="163"/>
      <c r="X607" s="163"/>
      <c r="Y607" s="163"/>
      <c r="Z607" s="163"/>
      <c r="AA607" s="163"/>
      <c r="AB607" s="163"/>
      <c r="AC607" s="163"/>
      <c r="AD607" s="163"/>
      <c r="AE607" s="163"/>
      <c r="AF607" s="163"/>
      <c r="AG607" s="163"/>
    </row>
    <row r="608" spans="21:33">
      <c r="U608" s="163"/>
      <c r="V608" s="163"/>
      <c r="W608" s="163"/>
      <c r="X608" s="163"/>
      <c r="Y608" s="163"/>
      <c r="Z608" s="163"/>
      <c r="AA608" s="163"/>
      <c r="AB608" s="163"/>
      <c r="AC608" s="163"/>
      <c r="AD608" s="163"/>
      <c r="AE608" s="163"/>
      <c r="AF608" s="163"/>
      <c r="AG608" s="163"/>
    </row>
    <row r="609" spans="21:33">
      <c r="U609" s="163"/>
      <c r="V609" s="163"/>
      <c r="W609" s="163"/>
      <c r="X609" s="163"/>
      <c r="Y609" s="163"/>
      <c r="Z609" s="163"/>
      <c r="AA609" s="163"/>
      <c r="AB609" s="163"/>
      <c r="AC609" s="163"/>
      <c r="AD609" s="163"/>
      <c r="AE609" s="163"/>
      <c r="AF609" s="163"/>
      <c r="AG609" s="163"/>
    </row>
    <row r="610" spans="21:33">
      <c r="U610" s="163"/>
      <c r="V610" s="163"/>
      <c r="W610" s="163"/>
      <c r="X610" s="163"/>
      <c r="Y610" s="163"/>
      <c r="Z610" s="163"/>
      <c r="AA610" s="163"/>
      <c r="AB610" s="163"/>
      <c r="AC610" s="163"/>
      <c r="AD610" s="163"/>
      <c r="AE610" s="163"/>
      <c r="AF610" s="163"/>
      <c r="AG610" s="163"/>
    </row>
    <row r="611" spans="21:33">
      <c r="U611" s="163"/>
      <c r="V611" s="163"/>
      <c r="W611" s="163"/>
      <c r="X611" s="163"/>
      <c r="Y611" s="163"/>
      <c r="Z611" s="163"/>
      <c r="AA611" s="163"/>
      <c r="AB611" s="163"/>
      <c r="AC611" s="163"/>
      <c r="AD611" s="163"/>
      <c r="AE611" s="163"/>
      <c r="AF611" s="163"/>
      <c r="AG611" s="163"/>
    </row>
    <row r="612" spans="21:33">
      <c r="U612" s="163"/>
      <c r="V612" s="163"/>
      <c r="W612" s="163"/>
      <c r="X612" s="163"/>
      <c r="Y612" s="163"/>
      <c r="Z612" s="163"/>
      <c r="AA612" s="163"/>
      <c r="AB612" s="163"/>
      <c r="AC612" s="163"/>
      <c r="AD612" s="163"/>
      <c r="AE612" s="163"/>
      <c r="AF612" s="163"/>
      <c r="AG612" s="163"/>
    </row>
    <row r="613" spans="21:33">
      <c r="U613" s="163"/>
      <c r="V613" s="163"/>
      <c r="W613" s="163"/>
      <c r="X613" s="163"/>
      <c r="Y613" s="163"/>
      <c r="Z613" s="163"/>
      <c r="AA613" s="163"/>
      <c r="AB613" s="163"/>
      <c r="AC613" s="163"/>
      <c r="AD613" s="163"/>
      <c r="AE613" s="163"/>
      <c r="AF613" s="163"/>
      <c r="AG613" s="163"/>
    </row>
    <row r="614" spans="21:33">
      <c r="U614" s="163"/>
      <c r="V614" s="163"/>
      <c r="W614" s="163"/>
      <c r="X614" s="163"/>
      <c r="Y614" s="163"/>
      <c r="Z614" s="163"/>
      <c r="AA614" s="163"/>
      <c r="AB614" s="163"/>
      <c r="AC614" s="163"/>
      <c r="AD614" s="163"/>
      <c r="AE614" s="163"/>
      <c r="AF614" s="163"/>
      <c r="AG614" s="163"/>
    </row>
    <row r="615" spans="21:33">
      <c r="U615" s="163"/>
      <c r="V615" s="163"/>
      <c r="W615" s="163"/>
      <c r="X615" s="163"/>
      <c r="Y615" s="163"/>
      <c r="Z615" s="163"/>
      <c r="AA615" s="163"/>
      <c r="AB615" s="163"/>
      <c r="AC615" s="163"/>
      <c r="AD615" s="163"/>
      <c r="AE615" s="163"/>
      <c r="AF615" s="163"/>
      <c r="AG615" s="163"/>
    </row>
    <row r="616" spans="21:33">
      <c r="U616" s="163"/>
      <c r="V616" s="163"/>
      <c r="W616" s="163"/>
      <c r="X616" s="163"/>
      <c r="Y616" s="163"/>
      <c r="Z616" s="163"/>
      <c r="AA616" s="163"/>
      <c r="AB616" s="163"/>
      <c r="AC616" s="163"/>
      <c r="AD616" s="163"/>
      <c r="AE616" s="163"/>
      <c r="AF616" s="163"/>
      <c r="AG616" s="163"/>
    </row>
    <row r="617" spans="21:33">
      <c r="U617" s="163"/>
      <c r="V617" s="163"/>
      <c r="W617" s="163"/>
      <c r="X617" s="163"/>
      <c r="Y617" s="163"/>
      <c r="Z617" s="163"/>
      <c r="AA617" s="163"/>
      <c r="AB617" s="163"/>
      <c r="AC617" s="163"/>
      <c r="AD617" s="163"/>
      <c r="AE617" s="163"/>
      <c r="AF617" s="163"/>
      <c r="AG617" s="163"/>
    </row>
    <row r="618" spans="21:33">
      <c r="U618" s="163"/>
      <c r="V618" s="163"/>
      <c r="W618" s="163"/>
      <c r="X618" s="163"/>
      <c r="Y618" s="163"/>
      <c r="Z618" s="163"/>
      <c r="AA618" s="163"/>
      <c r="AB618" s="163"/>
      <c r="AC618" s="163"/>
      <c r="AD618" s="163"/>
      <c r="AE618" s="163"/>
      <c r="AF618" s="163"/>
      <c r="AG618" s="163"/>
    </row>
    <row r="619" spans="21:33">
      <c r="U619" s="163"/>
      <c r="V619" s="163"/>
      <c r="W619" s="163"/>
      <c r="X619" s="163"/>
      <c r="Y619" s="163"/>
      <c r="Z619" s="163"/>
      <c r="AA619" s="163"/>
      <c r="AB619" s="163"/>
      <c r="AC619" s="163"/>
      <c r="AD619" s="163"/>
      <c r="AE619" s="163"/>
      <c r="AF619" s="163"/>
      <c r="AG619" s="163"/>
    </row>
    <row r="620" spans="21:33">
      <c r="U620" s="163"/>
      <c r="V620" s="163"/>
      <c r="W620" s="163"/>
      <c r="X620" s="163"/>
      <c r="Y620" s="163"/>
      <c r="Z620" s="163"/>
      <c r="AA620" s="163"/>
      <c r="AB620" s="163"/>
      <c r="AC620" s="163"/>
      <c r="AD620" s="163"/>
      <c r="AE620" s="163"/>
      <c r="AF620" s="163"/>
      <c r="AG620" s="163"/>
    </row>
    <row r="621" spans="21:33">
      <c r="U621" s="163"/>
      <c r="V621" s="163"/>
      <c r="W621" s="163"/>
      <c r="X621" s="163"/>
      <c r="Y621" s="163"/>
      <c r="Z621" s="163"/>
      <c r="AA621" s="163"/>
      <c r="AB621" s="163"/>
      <c r="AC621" s="163"/>
      <c r="AD621" s="163"/>
      <c r="AE621" s="163"/>
      <c r="AF621" s="163"/>
      <c r="AG621" s="163"/>
    </row>
    <row r="622" spans="21:33">
      <c r="U622" s="163"/>
      <c r="V622" s="163"/>
      <c r="W622" s="163"/>
      <c r="X622" s="163"/>
      <c r="Y622" s="163"/>
      <c r="Z622" s="163"/>
      <c r="AA622" s="163"/>
      <c r="AB622" s="163"/>
      <c r="AC622" s="163"/>
      <c r="AD622" s="163"/>
      <c r="AE622" s="163"/>
      <c r="AF622" s="163"/>
      <c r="AG622" s="163"/>
    </row>
    <row r="623" spans="21:33">
      <c r="U623" s="163"/>
      <c r="V623" s="163"/>
      <c r="W623" s="163"/>
      <c r="X623" s="163"/>
      <c r="Y623" s="163"/>
      <c r="Z623" s="163"/>
      <c r="AA623" s="163"/>
      <c r="AB623" s="163"/>
      <c r="AC623" s="163"/>
      <c r="AD623" s="163"/>
      <c r="AE623" s="163"/>
      <c r="AF623" s="163"/>
      <c r="AG623" s="163"/>
    </row>
    <row r="624" spans="21:33">
      <c r="U624" s="163"/>
      <c r="V624" s="163"/>
      <c r="W624" s="163"/>
      <c r="X624" s="163"/>
      <c r="Y624" s="163"/>
      <c r="Z624" s="163"/>
      <c r="AA624" s="163"/>
      <c r="AB624" s="163"/>
      <c r="AC624" s="163"/>
      <c r="AD624" s="163"/>
      <c r="AE624" s="163"/>
      <c r="AF624" s="163"/>
      <c r="AG624" s="163"/>
    </row>
    <row r="625" spans="21:33">
      <c r="U625" s="163"/>
      <c r="V625" s="163"/>
      <c r="W625" s="163"/>
      <c r="X625" s="163"/>
      <c r="Y625" s="163"/>
      <c r="Z625" s="163"/>
      <c r="AA625" s="163"/>
      <c r="AB625" s="163"/>
      <c r="AC625" s="163"/>
      <c r="AD625" s="163"/>
      <c r="AE625" s="163"/>
      <c r="AF625" s="163"/>
      <c r="AG625" s="163"/>
    </row>
    <row r="626" spans="21:33">
      <c r="U626" s="163"/>
      <c r="V626" s="163"/>
      <c r="W626" s="163"/>
      <c r="X626" s="163"/>
      <c r="Y626" s="163"/>
      <c r="Z626" s="163"/>
      <c r="AA626" s="163"/>
      <c r="AB626" s="163"/>
      <c r="AC626" s="163"/>
      <c r="AD626" s="163"/>
      <c r="AE626" s="163"/>
      <c r="AF626" s="163"/>
      <c r="AG626" s="163"/>
    </row>
    <row r="627" spans="21:33">
      <c r="U627" s="163"/>
      <c r="V627" s="163"/>
      <c r="W627" s="163"/>
      <c r="X627" s="163"/>
      <c r="Y627" s="163"/>
      <c r="Z627" s="163"/>
      <c r="AA627" s="163"/>
      <c r="AB627" s="163"/>
      <c r="AC627" s="163"/>
      <c r="AD627" s="163"/>
      <c r="AE627" s="163"/>
      <c r="AF627" s="163"/>
      <c r="AG627" s="163"/>
    </row>
    <row r="628" spans="21:33">
      <c r="U628" s="163"/>
      <c r="V628" s="163"/>
      <c r="W628" s="163"/>
      <c r="X628" s="163"/>
      <c r="Y628" s="163"/>
      <c r="Z628" s="163"/>
      <c r="AA628" s="163"/>
      <c r="AB628" s="163"/>
      <c r="AC628" s="163"/>
      <c r="AD628" s="163"/>
      <c r="AE628" s="163"/>
      <c r="AF628" s="163"/>
      <c r="AG628" s="163"/>
    </row>
    <row r="629" spans="21:33">
      <c r="U629" s="163"/>
      <c r="V629" s="163"/>
      <c r="W629" s="163"/>
      <c r="X629" s="163"/>
      <c r="Y629" s="163"/>
      <c r="Z629" s="163"/>
      <c r="AA629" s="163"/>
      <c r="AB629" s="163"/>
      <c r="AC629" s="163"/>
      <c r="AD629" s="163"/>
      <c r="AE629" s="163"/>
      <c r="AF629" s="163"/>
      <c r="AG629" s="163"/>
    </row>
    <row r="630" spans="21:33">
      <c r="U630" s="163"/>
      <c r="V630" s="163"/>
      <c r="W630" s="163"/>
      <c r="X630" s="163"/>
      <c r="Y630" s="163"/>
      <c r="Z630" s="163"/>
      <c r="AA630" s="163"/>
      <c r="AB630" s="163"/>
      <c r="AC630" s="163"/>
      <c r="AD630" s="163"/>
      <c r="AE630" s="163"/>
      <c r="AF630" s="163"/>
      <c r="AG630" s="163"/>
    </row>
    <row r="631" spans="21:33">
      <c r="U631" s="163"/>
      <c r="V631" s="163"/>
      <c r="W631" s="163"/>
      <c r="X631" s="163"/>
      <c r="Y631" s="163"/>
      <c r="Z631" s="163"/>
      <c r="AA631" s="163"/>
      <c r="AB631" s="163"/>
      <c r="AC631" s="163"/>
      <c r="AD631" s="163"/>
      <c r="AE631" s="163"/>
      <c r="AF631" s="163"/>
      <c r="AG631" s="163"/>
    </row>
    <row r="632" spans="21:33">
      <c r="U632" s="163"/>
      <c r="V632" s="163"/>
      <c r="W632" s="163"/>
      <c r="X632" s="163"/>
      <c r="Y632" s="163"/>
      <c r="Z632" s="163"/>
      <c r="AA632" s="163"/>
      <c r="AB632" s="163"/>
      <c r="AC632" s="163"/>
      <c r="AD632" s="163"/>
      <c r="AE632" s="163"/>
      <c r="AF632" s="163"/>
      <c r="AG632" s="163"/>
    </row>
    <row r="633" spans="21:33">
      <c r="U633" s="163"/>
      <c r="V633" s="163"/>
      <c r="W633" s="163"/>
      <c r="X633" s="163"/>
      <c r="Y633" s="163"/>
      <c r="Z633" s="163"/>
      <c r="AA633" s="163"/>
      <c r="AB633" s="163"/>
      <c r="AC633" s="163"/>
      <c r="AD633" s="163"/>
      <c r="AE633" s="163"/>
      <c r="AF633" s="163"/>
      <c r="AG633" s="163"/>
    </row>
    <row r="634" spans="21:33">
      <c r="U634" s="163"/>
      <c r="V634" s="163"/>
      <c r="W634" s="163"/>
      <c r="X634" s="163"/>
      <c r="Y634" s="163"/>
      <c r="Z634" s="163"/>
      <c r="AA634" s="163"/>
      <c r="AB634" s="163"/>
      <c r="AC634" s="163"/>
      <c r="AD634" s="163"/>
      <c r="AE634" s="163"/>
      <c r="AF634" s="163"/>
      <c r="AG634" s="163"/>
    </row>
    <row r="635" spans="21:33">
      <c r="U635" s="163"/>
      <c r="V635" s="163"/>
      <c r="W635" s="163"/>
      <c r="X635" s="163"/>
      <c r="Y635" s="163"/>
      <c r="Z635" s="163"/>
      <c r="AA635" s="163"/>
      <c r="AB635" s="163"/>
      <c r="AC635" s="163"/>
      <c r="AD635" s="163"/>
      <c r="AE635" s="163"/>
      <c r="AF635" s="163"/>
      <c r="AG635" s="163"/>
    </row>
    <row r="636" spans="21:33">
      <c r="U636" s="163"/>
      <c r="V636" s="163"/>
      <c r="W636" s="163"/>
      <c r="X636" s="163"/>
      <c r="Y636" s="163"/>
      <c r="Z636" s="163"/>
      <c r="AA636" s="163"/>
      <c r="AB636" s="163"/>
      <c r="AC636" s="163"/>
      <c r="AD636" s="163"/>
      <c r="AE636" s="163"/>
      <c r="AF636" s="163"/>
      <c r="AG636" s="163"/>
    </row>
    <row r="637" spans="21:33">
      <c r="U637" s="163"/>
      <c r="V637" s="163"/>
      <c r="W637" s="163"/>
      <c r="X637" s="163"/>
      <c r="Y637" s="163"/>
      <c r="Z637" s="163"/>
      <c r="AA637" s="163"/>
      <c r="AB637" s="163"/>
      <c r="AC637" s="163"/>
      <c r="AD637" s="163"/>
      <c r="AE637" s="163"/>
      <c r="AF637" s="163"/>
      <c r="AG637" s="163"/>
    </row>
    <row r="638" spans="21:33">
      <c r="U638" s="163"/>
      <c r="V638" s="163"/>
      <c r="W638" s="163"/>
      <c r="X638" s="163"/>
      <c r="Y638" s="163"/>
      <c r="Z638" s="163"/>
      <c r="AA638" s="163"/>
      <c r="AB638" s="163"/>
      <c r="AC638" s="163"/>
      <c r="AD638" s="163"/>
      <c r="AE638" s="163"/>
      <c r="AF638" s="163"/>
      <c r="AG638" s="163"/>
    </row>
    <row r="639" spans="21:33">
      <c r="U639" s="163"/>
      <c r="V639" s="163"/>
      <c r="W639" s="163"/>
      <c r="X639" s="163"/>
      <c r="Y639" s="163"/>
      <c r="Z639" s="163"/>
      <c r="AA639" s="163"/>
      <c r="AB639" s="163"/>
      <c r="AC639" s="163"/>
      <c r="AD639" s="163"/>
      <c r="AE639" s="163"/>
      <c r="AF639" s="163"/>
      <c r="AG639" s="163"/>
    </row>
    <row r="640" spans="21:33">
      <c r="U640" s="163"/>
      <c r="V640" s="163"/>
      <c r="W640" s="163"/>
      <c r="X640" s="163"/>
      <c r="Y640" s="163"/>
      <c r="Z640" s="163"/>
      <c r="AA640" s="163"/>
      <c r="AB640" s="163"/>
      <c r="AC640" s="163"/>
      <c r="AD640" s="163"/>
      <c r="AE640" s="163"/>
      <c r="AF640" s="163"/>
      <c r="AG640" s="163"/>
    </row>
    <row r="641" spans="21:33">
      <c r="U641" s="163"/>
      <c r="V641" s="163"/>
      <c r="W641" s="163"/>
      <c r="X641" s="163"/>
      <c r="Y641" s="163"/>
      <c r="Z641" s="163"/>
      <c r="AA641" s="163"/>
      <c r="AB641" s="163"/>
      <c r="AC641" s="163"/>
      <c r="AD641" s="163"/>
      <c r="AE641" s="163"/>
      <c r="AF641" s="163"/>
      <c r="AG641" s="163"/>
    </row>
    <row r="642" spans="21:33">
      <c r="U642" s="163"/>
      <c r="V642" s="163"/>
      <c r="W642" s="163"/>
      <c r="X642" s="163"/>
      <c r="Y642" s="163"/>
      <c r="Z642" s="163"/>
      <c r="AA642" s="163"/>
      <c r="AB642" s="163"/>
      <c r="AC642" s="163"/>
      <c r="AD642" s="163"/>
      <c r="AE642" s="163"/>
      <c r="AF642" s="163"/>
      <c r="AG642" s="163"/>
    </row>
    <row r="643" spans="21:33">
      <c r="U643" s="163"/>
      <c r="V643" s="163"/>
      <c r="W643" s="163"/>
      <c r="X643" s="163"/>
      <c r="Y643" s="163"/>
      <c r="Z643" s="163"/>
      <c r="AA643" s="163"/>
      <c r="AB643" s="163"/>
      <c r="AC643" s="163"/>
      <c r="AD643" s="163"/>
      <c r="AE643" s="163"/>
      <c r="AF643" s="163"/>
      <c r="AG643" s="163"/>
    </row>
    <row r="644" spans="21:33">
      <c r="U644" s="163"/>
      <c r="V644" s="163"/>
      <c r="W644" s="163"/>
      <c r="X644" s="163"/>
      <c r="Y644" s="163"/>
      <c r="Z644" s="163"/>
      <c r="AA644" s="163"/>
      <c r="AB644" s="163"/>
      <c r="AC644" s="163"/>
      <c r="AD644" s="163"/>
      <c r="AE644" s="163"/>
      <c r="AF644" s="163"/>
      <c r="AG644" s="163"/>
    </row>
    <row r="645" spans="21:33">
      <c r="U645" s="163"/>
      <c r="V645" s="163"/>
      <c r="W645" s="163"/>
      <c r="X645" s="163"/>
      <c r="Y645" s="163"/>
      <c r="Z645" s="163"/>
      <c r="AA645" s="163"/>
      <c r="AB645" s="163"/>
      <c r="AC645" s="163"/>
      <c r="AD645" s="163"/>
      <c r="AE645" s="163"/>
      <c r="AF645" s="163"/>
      <c r="AG645" s="163"/>
    </row>
    <row r="646" spans="21:33">
      <c r="U646" s="163"/>
      <c r="V646" s="163"/>
      <c r="W646" s="163"/>
      <c r="X646" s="163"/>
      <c r="Y646" s="163"/>
      <c r="Z646" s="163"/>
      <c r="AA646" s="163"/>
      <c r="AB646" s="163"/>
      <c r="AC646" s="163"/>
      <c r="AD646" s="163"/>
      <c r="AE646" s="163"/>
      <c r="AF646" s="163"/>
      <c r="AG646" s="163"/>
    </row>
    <row r="647" spans="21:33">
      <c r="U647" s="163"/>
      <c r="V647" s="163"/>
      <c r="W647" s="163"/>
      <c r="X647" s="163"/>
      <c r="Y647" s="163"/>
      <c r="Z647" s="163"/>
      <c r="AA647" s="163"/>
      <c r="AB647" s="163"/>
      <c r="AC647" s="163"/>
      <c r="AD647" s="163"/>
      <c r="AE647" s="163"/>
      <c r="AF647" s="163"/>
      <c r="AG647" s="163"/>
    </row>
    <row r="648" spans="21:33">
      <c r="U648" s="163"/>
      <c r="V648" s="163"/>
      <c r="W648" s="163"/>
      <c r="X648" s="163"/>
      <c r="Y648" s="163"/>
      <c r="Z648" s="163"/>
      <c r="AA648" s="163"/>
      <c r="AB648" s="163"/>
      <c r="AC648" s="163"/>
      <c r="AD648" s="163"/>
      <c r="AE648" s="163"/>
      <c r="AF648" s="163"/>
      <c r="AG648" s="163"/>
    </row>
    <row r="649" spans="21:33">
      <c r="U649" s="163"/>
      <c r="V649" s="163"/>
      <c r="W649" s="163"/>
      <c r="X649" s="163"/>
      <c r="Y649" s="163"/>
      <c r="Z649" s="163"/>
      <c r="AA649" s="163"/>
      <c r="AB649" s="163"/>
      <c r="AC649" s="163"/>
      <c r="AD649" s="163"/>
      <c r="AE649" s="163"/>
      <c r="AF649" s="163"/>
      <c r="AG649" s="163"/>
    </row>
    <row r="650" spans="21:33">
      <c r="U650" s="163"/>
      <c r="V650" s="163"/>
      <c r="W650" s="163"/>
      <c r="X650" s="163"/>
      <c r="Y650" s="163"/>
      <c r="Z650" s="163"/>
      <c r="AA650" s="163"/>
      <c r="AB650" s="163"/>
      <c r="AC650" s="163"/>
      <c r="AD650" s="163"/>
      <c r="AE650" s="163"/>
      <c r="AF650" s="163"/>
      <c r="AG650" s="163"/>
    </row>
    <row r="651" spans="21:33">
      <c r="U651" s="163"/>
      <c r="V651" s="163"/>
      <c r="W651" s="163"/>
      <c r="X651" s="163"/>
      <c r="Y651" s="163"/>
      <c r="Z651" s="163"/>
      <c r="AA651" s="163"/>
      <c r="AB651" s="163"/>
      <c r="AC651" s="163"/>
      <c r="AD651" s="163"/>
      <c r="AE651" s="163"/>
      <c r="AF651" s="163"/>
      <c r="AG651" s="163"/>
    </row>
    <row r="652" spans="21:33">
      <c r="U652" s="163"/>
      <c r="V652" s="163"/>
      <c r="W652" s="163"/>
      <c r="X652" s="163"/>
      <c r="Y652" s="163"/>
      <c r="Z652" s="163"/>
      <c r="AA652" s="163"/>
      <c r="AB652" s="163"/>
      <c r="AC652" s="163"/>
      <c r="AD652" s="163"/>
      <c r="AE652" s="163"/>
      <c r="AF652" s="163"/>
      <c r="AG652" s="163"/>
    </row>
    <row r="653" spans="21:33">
      <c r="U653" s="163"/>
      <c r="V653" s="163"/>
      <c r="W653" s="163"/>
      <c r="X653" s="163"/>
      <c r="Y653" s="163"/>
      <c r="Z653" s="163"/>
      <c r="AA653" s="163"/>
      <c r="AB653" s="163"/>
      <c r="AC653" s="163"/>
      <c r="AD653" s="163"/>
      <c r="AE653" s="163"/>
      <c r="AF653" s="163"/>
      <c r="AG653" s="163"/>
    </row>
    <row r="654" spans="21:33">
      <c r="U654" s="163"/>
      <c r="V654" s="163"/>
      <c r="W654" s="163"/>
      <c r="X654" s="163"/>
      <c r="Y654" s="163"/>
      <c r="Z654" s="163"/>
      <c r="AA654" s="163"/>
      <c r="AB654" s="163"/>
      <c r="AC654" s="163"/>
      <c r="AD654" s="163"/>
      <c r="AE654" s="163"/>
      <c r="AF654" s="163"/>
      <c r="AG654" s="163"/>
    </row>
    <row r="655" spans="21:33">
      <c r="U655" s="163"/>
      <c r="V655" s="163"/>
      <c r="W655" s="163"/>
      <c r="X655" s="163"/>
      <c r="Y655" s="163"/>
      <c r="Z655" s="163"/>
      <c r="AA655" s="163"/>
      <c r="AB655" s="163"/>
      <c r="AC655" s="163"/>
      <c r="AD655" s="163"/>
      <c r="AE655" s="163"/>
      <c r="AF655" s="163"/>
      <c r="AG655" s="163"/>
    </row>
    <row r="656" spans="21:33">
      <c r="U656" s="163"/>
      <c r="V656" s="163"/>
      <c r="W656" s="163"/>
      <c r="X656" s="163"/>
      <c r="Y656" s="163"/>
      <c r="Z656" s="163"/>
      <c r="AA656" s="163"/>
      <c r="AB656" s="163"/>
      <c r="AC656" s="163"/>
      <c r="AD656" s="163"/>
      <c r="AE656" s="163"/>
      <c r="AF656" s="163"/>
      <c r="AG656" s="163"/>
    </row>
    <row r="657" spans="21:33">
      <c r="U657" s="163"/>
      <c r="V657" s="163"/>
      <c r="W657" s="163"/>
      <c r="X657" s="163"/>
      <c r="Y657" s="163"/>
      <c r="Z657" s="163"/>
      <c r="AA657" s="163"/>
      <c r="AB657" s="163"/>
      <c r="AC657" s="163"/>
      <c r="AD657" s="163"/>
      <c r="AE657" s="163"/>
      <c r="AF657" s="163"/>
      <c r="AG657" s="163"/>
    </row>
    <row r="658" spans="21:33">
      <c r="U658" s="163"/>
      <c r="V658" s="163"/>
      <c r="W658" s="163"/>
      <c r="X658" s="163"/>
      <c r="Y658" s="163"/>
      <c r="Z658" s="163"/>
      <c r="AA658" s="163"/>
      <c r="AB658" s="163"/>
      <c r="AC658" s="163"/>
      <c r="AD658" s="163"/>
      <c r="AE658" s="163"/>
      <c r="AF658" s="163"/>
      <c r="AG658" s="163"/>
    </row>
    <row r="659" spans="21:33">
      <c r="U659" s="163"/>
      <c r="V659" s="163"/>
      <c r="W659" s="163"/>
      <c r="X659" s="163"/>
      <c r="Y659" s="163"/>
      <c r="Z659" s="163"/>
      <c r="AA659" s="163"/>
      <c r="AB659" s="163"/>
      <c r="AC659" s="163"/>
      <c r="AD659" s="163"/>
      <c r="AE659" s="163"/>
      <c r="AF659" s="163"/>
      <c r="AG659" s="163"/>
    </row>
    <row r="660" spans="21:33">
      <c r="U660" s="163"/>
      <c r="V660" s="163"/>
      <c r="W660" s="163"/>
      <c r="X660" s="163"/>
      <c r="Y660" s="163"/>
      <c r="Z660" s="163"/>
      <c r="AA660" s="163"/>
      <c r="AB660" s="163"/>
      <c r="AC660" s="163"/>
      <c r="AD660" s="163"/>
      <c r="AE660" s="163"/>
      <c r="AF660" s="163"/>
      <c r="AG660" s="163"/>
    </row>
    <row r="661" spans="21:33">
      <c r="U661" s="163"/>
      <c r="V661" s="163"/>
      <c r="W661" s="163"/>
      <c r="X661" s="163"/>
      <c r="Y661" s="163"/>
      <c r="Z661" s="163"/>
      <c r="AA661" s="163"/>
      <c r="AB661" s="163"/>
      <c r="AC661" s="163"/>
      <c r="AD661" s="163"/>
      <c r="AE661" s="163"/>
      <c r="AF661" s="163"/>
      <c r="AG661" s="163"/>
    </row>
    <row r="662" spans="21:33">
      <c r="U662" s="163"/>
      <c r="V662" s="163"/>
      <c r="W662" s="163"/>
      <c r="X662" s="163"/>
      <c r="Y662" s="163"/>
      <c r="Z662" s="163"/>
      <c r="AA662" s="163"/>
      <c r="AB662" s="163"/>
      <c r="AC662" s="163"/>
      <c r="AD662" s="163"/>
      <c r="AE662" s="163"/>
      <c r="AF662" s="163"/>
      <c r="AG662" s="163"/>
    </row>
    <row r="663" spans="21:33">
      <c r="U663" s="163"/>
      <c r="V663" s="163"/>
      <c r="W663" s="163"/>
      <c r="X663" s="163"/>
      <c r="Y663" s="163"/>
      <c r="Z663" s="163"/>
      <c r="AA663" s="163"/>
      <c r="AB663" s="163"/>
      <c r="AC663" s="163"/>
      <c r="AD663" s="163"/>
      <c r="AE663" s="163"/>
      <c r="AF663" s="163"/>
      <c r="AG663" s="163"/>
    </row>
    <row r="664" spans="21:33">
      <c r="U664" s="163"/>
      <c r="V664" s="163"/>
      <c r="W664" s="163"/>
      <c r="X664" s="163"/>
      <c r="Y664" s="163"/>
      <c r="Z664" s="163"/>
      <c r="AA664" s="163"/>
      <c r="AB664" s="163"/>
      <c r="AC664" s="163"/>
      <c r="AD664" s="163"/>
      <c r="AE664" s="163"/>
      <c r="AF664" s="163"/>
      <c r="AG664" s="163"/>
    </row>
    <row r="665" spans="21:33">
      <c r="U665" s="163"/>
      <c r="V665" s="163"/>
      <c r="W665" s="163"/>
      <c r="X665" s="163"/>
      <c r="Y665" s="163"/>
      <c r="Z665" s="163"/>
      <c r="AA665" s="163"/>
      <c r="AB665" s="163"/>
      <c r="AC665" s="163"/>
      <c r="AD665" s="163"/>
      <c r="AE665" s="163"/>
      <c r="AF665" s="163"/>
      <c r="AG665" s="163"/>
    </row>
    <row r="666" spans="21:33">
      <c r="U666" s="163"/>
      <c r="V666" s="163"/>
      <c r="W666" s="163"/>
      <c r="X666" s="163"/>
      <c r="Y666" s="163"/>
      <c r="Z666" s="163"/>
      <c r="AA666" s="163"/>
      <c r="AB666" s="163"/>
      <c r="AC666" s="163"/>
      <c r="AD666" s="163"/>
      <c r="AE666" s="163"/>
      <c r="AF666" s="163"/>
      <c r="AG666" s="163"/>
    </row>
    <row r="667" spans="21:33">
      <c r="U667" s="163"/>
      <c r="V667" s="163"/>
      <c r="W667" s="163"/>
      <c r="X667" s="163"/>
      <c r="Y667" s="163"/>
      <c r="Z667" s="163"/>
      <c r="AA667" s="163"/>
      <c r="AB667" s="163"/>
      <c r="AC667" s="163"/>
      <c r="AD667" s="163"/>
      <c r="AE667" s="163"/>
      <c r="AF667" s="163"/>
      <c r="AG667" s="163"/>
    </row>
    <row r="668" spans="21:33">
      <c r="U668" s="163"/>
      <c r="V668" s="163"/>
      <c r="W668" s="163"/>
      <c r="X668" s="163"/>
      <c r="Y668" s="163"/>
      <c r="Z668" s="163"/>
      <c r="AA668" s="163"/>
      <c r="AB668" s="163"/>
      <c r="AC668" s="163"/>
      <c r="AD668" s="163"/>
      <c r="AE668" s="163"/>
      <c r="AF668" s="163"/>
      <c r="AG668" s="163"/>
    </row>
    <row r="669" spans="21:33">
      <c r="U669" s="163"/>
      <c r="V669" s="163"/>
      <c r="W669" s="163"/>
      <c r="X669" s="163"/>
      <c r="Y669" s="163"/>
      <c r="Z669" s="163"/>
      <c r="AA669" s="163"/>
      <c r="AB669" s="163"/>
      <c r="AC669" s="163"/>
      <c r="AD669" s="163"/>
      <c r="AE669" s="163"/>
      <c r="AF669" s="163"/>
      <c r="AG669" s="163"/>
    </row>
    <row r="670" spans="21:33">
      <c r="U670" s="163"/>
      <c r="V670" s="163"/>
      <c r="W670" s="163"/>
      <c r="X670" s="163"/>
      <c r="Y670" s="163"/>
      <c r="Z670" s="163"/>
      <c r="AA670" s="163"/>
      <c r="AB670" s="163"/>
      <c r="AC670" s="163"/>
      <c r="AD670" s="163"/>
      <c r="AE670" s="163"/>
      <c r="AF670" s="163"/>
      <c r="AG670" s="163"/>
    </row>
    <row r="671" spans="21:33">
      <c r="U671" s="163"/>
      <c r="V671" s="163"/>
      <c r="W671" s="163"/>
      <c r="X671" s="163"/>
      <c r="Y671" s="163"/>
      <c r="Z671" s="163"/>
      <c r="AA671" s="163"/>
      <c r="AB671" s="163"/>
      <c r="AC671" s="163"/>
      <c r="AD671" s="163"/>
      <c r="AE671" s="163"/>
      <c r="AF671" s="163"/>
      <c r="AG671" s="163"/>
    </row>
    <row r="672" spans="21:33">
      <c r="U672" s="163"/>
      <c r="V672" s="163"/>
      <c r="W672" s="163"/>
      <c r="X672" s="163"/>
      <c r="Y672" s="163"/>
      <c r="Z672" s="163"/>
      <c r="AA672" s="163"/>
      <c r="AB672" s="163"/>
      <c r="AC672" s="163"/>
      <c r="AD672" s="163"/>
      <c r="AE672" s="163"/>
      <c r="AF672" s="163"/>
      <c r="AG672" s="163"/>
    </row>
    <row r="673" spans="21:33">
      <c r="U673" s="163"/>
      <c r="V673" s="163"/>
      <c r="W673" s="163"/>
      <c r="X673" s="163"/>
      <c r="Y673" s="163"/>
      <c r="Z673" s="163"/>
      <c r="AA673" s="163"/>
      <c r="AB673" s="163"/>
      <c r="AC673" s="163"/>
      <c r="AD673" s="163"/>
      <c r="AE673" s="163"/>
      <c r="AF673" s="163"/>
      <c r="AG673" s="163"/>
    </row>
    <row r="674" spans="21:33">
      <c r="U674" s="163"/>
      <c r="V674" s="163"/>
      <c r="W674" s="163"/>
      <c r="X674" s="163"/>
      <c r="Y674" s="163"/>
      <c r="Z674" s="163"/>
      <c r="AA674" s="163"/>
      <c r="AB674" s="163"/>
      <c r="AC674" s="163"/>
      <c r="AD674" s="163"/>
      <c r="AE674" s="163"/>
      <c r="AF674" s="163"/>
      <c r="AG674" s="163"/>
    </row>
    <row r="675" spans="21:33">
      <c r="U675" s="163"/>
      <c r="V675" s="163"/>
      <c r="W675" s="163"/>
      <c r="X675" s="163"/>
      <c r="Y675" s="163"/>
      <c r="Z675" s="163"/>
      <c r="AA675" s="163"/>
      <c r="AB675" s="163"/>
      <c r="AC675" s="163"/>
      <c r="AD675" s="163"/>
      <c r="AE675" s="163"/>
      <c r="AF675" s="163"/>
      <c r="AG675" s="163"/>
    </row>
    <row r="676" spans="21:33">
      <c r="U676" s="163"/>
      <c r="V676" s="163"/>
      <c r="W676" s="163"/>
      <c r="X676" s="163"/>
      <c r="Y676" s="163"/>
      <c r="Z676" s="163"/>
      <c r="AA676" s="163"/>
      <c r="AB676" s="163"/>
      <c r="AC676" s="163"/>
      <c r="AD676" s="163"/>
      <c r="AE676" s="163"/>
      <c r="AF676" s="163"/>
      <c r="AG676" s="163"/>
    </row>
    <row r="677" spans="21:33">
      <c r="U677" s="163"/>
      <c r="V677" s="163"/>
      <c r="W677" s="163"/>
      <c r="X677" s="163"/>
      <c r="Y677" s="163"/>
      <c r="Z677" s="163"/>
      <c r="AA677" s="163"/>
      <c r="AB677" s="163"/>
      <c r="AC677" s="163"/>
      <c r="AD677" s="163"/>
      <c r="AE677" s="163"/>
      <c r="AF677" s="163"/>
      <c r="AG677" s="163"/>
    </row>
    <row r="678" spans="21:33">
      <c r="U678" s="163"/>
      <c r="V678" s="163"/>
      <c r="W678" s="163"/>
      <c r="X678" s="163"/>
      <c r="Y678" s="163"/>
      <c r="Z678" s="163"/>
      <c r="AA678" s="163"/>
      <c r="AB678" s="163"/>
      <c r="AC678" s="163"/>
      <c r="AD678" s="163"/>
      <c r="AE678" s="163"/>
      <c r="AF678" s="163"/>
      <c r="AG678" s="163"/>
    </row>
    <row r="679" spans="21:33">
      <c r="U679" s="163"/>
      <c r="V679" s="163"/>
      <c r="W679" s="163"/>
      <c r="X679" s="163"/>
      <c r="Y679" s="163"/>
      <c r="Z679" s="163"/>
      <c r="AA679" s="163"/>
      <c r="AB679" s="163"/>
      <c r="AC679" s="163"/>
      <c r="AD679" s="163"/>
      <c r="AE679" s="163"/>
      <c r="AF679" s="163"/>
      <c r="AG679" s="163"/>
    </row>
    <row r="680" spans="21:33">
      <c r="U680" s="163"/>
      <c r="V680" s="163"/>
      <c r="W680" s="163"/>
      <c r="X680" s="163"/>
      <c r="Y680" s="163"/>
      <c r="Z680" s="163"/>
      <c r="AA680" s="163"/>
      <c r="AB680" s="163"/>
      <c r="AC680" s="163"/>
      <c r="AD680" s="163"/>
      <c r="AE680" s="163"/>
      <c r="AF680" s="163"/>
      <c r="AG680" s="163"/>
    </row>
    <row r="681" spans="21:33">
      <c r="U681" s="163"/>
      <c r="V681" s="163"/>
      <c r="W681" s="163"/>
      <c r="X681" s="163"/>
      <c r="Y681" s="163"/>
      <c r="Z681" s="163"/>
      <c r="AA681" s="163"/>
      <c r="AB681" s="163"/>
      <c r="AC681" s="163"/>
      <c r="AD681" s="163"/>
      <c r="AE681" s="163"/>
      <c r="AF681" s="163"/>
      <c r="AG681" s="163"/>
    </row>
    <row r="682" spans="21:33">
      <c r="U682" s="163"/>
      <c r="V682" s="163"/>
      <c r="W682" s="163"/>
      <c r="X682" s="163"/>
      <c r="Y682" s="163"/>
      <c r="Z682" s="163"/>
      <c r="AA682" s="163"/>
      <c r="AB682" s="163"/>
      <c r="AC682" s="163"/>
      <c r="AD682" s="163"/>
      <c r="AE682" s="163"/>
      <c r="AF682" s="163"/>
      <c r="AG682" s="163"/>
    </row>
    <row r="683" spans="21:33">
      <c r="U683" s="163"/>
      <c r="V683" s="163"/>
      <c r="W683" s="163"/>
      <c r="X683" s="163"/>
      <c r="Y683" s="163"/>
      <c r="Z683" s="163"/>
      <c r="AA683" s="163"/>
      <c r="AB683" s="163"/>
      <c r="AC683" s="163"/>
      <c r="AD683" s="163"/>
      <c r="AE683" s="163"/>
      <c r="AF683" s="163"/>
      <c r="AG683" s="163"/>
    </row>
    <row r="684" spans="21:33">
      <c r="U684" s="163"/>
      <c r="V684" s="163"/>
      <c r="W684" s="163"/>
      <c r="X684" s="163"/>
      <c r="Y684" s="163"/>
      <c r="Z684" s="163"/>
      <c r="AA684" s="163"/>
      <c r="AB684" s="163"/>
      <c r="AC684" s="163"/>
      <c r="AD684" s="163"/>
      <c r="AE684" s="163"/>
      <c r="AF684" s="163"/>
      <c r="AG684" s="163"/>
    </row>
    <row r="685" spans="21:33">
      <c r="U685" s="163"/>
      <c r="V685" s="163"/>
      <c r="W685" s="163"/>
      <c r="X685" s="163"/>
      <c r="Y685" s="163"/>
      <c r="Z685" s="163"/>
      <c r="AA685" s="163"/>
      <c r="AB685" s="163"/>
      <c r="AC685" s="163"/>
      <c r="AD685" s="163"/>
      <c r="AE685" s="163"/>
      <c r="AF685" s="163"/>
      <c r="AG685" s="163"/>
    </row>
    <row r="686" spans="21:33">
      <c r="U686" s="163"/>
      <c r="V686" s="163"/>
      <c r="W686" s="163"/>
      <c r="X686" s="163"/>
      <c r="Y686" s="163"/>
      <c r="Z686" s="163"/>
      <c r="AA686" s="163"/>
      <c r="AB686" s="163"/>
      <c r="AC686" s="163"/>
      <c r="AD686" s="163"/>
      <c r="AE686" s="163"/>
      <c r="AF686" s="163"/>
      <c r="AG686" s="163"/>
    </row>
    <row r="687" spans="21:33">
      <c r="U687" s="163"/>
      <c r="V687" s="163"/>
      <c r="W687" s="163"/>
      <c r="X687" s="163"/>
      <c r="Y687" s="163"/>
      <c r="Z687" s="163"/>
      <c r="AA687" s="163"/>
      <c r="AB687" s="163"/>
      <c r="AC687" s="163"/>
      <c r="AD687" s="163"/>
      <c r="AE687" s="163"/>
      <c r="AF687" s="163"/>
      <c r="AG687" s="163"/>
    </row>
    <row r="688" spans="21:33">
      <c r="U688" s="163"/>
      <c r="V688" s="163"/>
      <c r="W688" s="163"/>
      <c r="X688" s="163"/>
      <c r="Y688" s="163"/>
      <c r="Z688" s="163"/>
      <c r="AA688" s="163"/>
      <c r="AB688" s="163"/>
      <c r="AC688" s="163"/>
      <c r="AD688" s="163"/>
      <c r="AE688" s="163"/>
      <c r="AF688" s="163"/>
      <c r="AG688" s="163"/>
    </row>
    <row r="689" spans="21:33">
      <c r="U689" s="163"/>
      <c r="V689" s="163"/>
      <c r="W689" s="163"/>
      <c r="X689" s="163"/>
      <c r="Y689" s="163"/>
      <c r="Z689" s="163"/>
      <c r="AA689" s="163"/>
      <c r="AB689" s="163"/>
      <c r="AC689" s="163"/>
      <c r="AD689" s="163"/>
      <c r="AE689" s="163"/>
      <c r="AF689" s="163"/>
      <c r="AG689" s="163"/>
    </row>
    <row r="690" spans="21:33">
      <c r="U690" s="163"/>
      <c r="V690" s="163"/>
      <c r="W690" s="163"/>
      <c r="X690" s="163"/>
      <c r="Y690" s="163"/>
      <c r="Z690" s="163"/>
      <c r="AA690" s="163"/>
      <c r="AB690" s="163"/>
      <c r="AC690" s="163"/>
      <c r="AD690" s="163"/>
      <c r="AE690" s="163"/>
      <c r="AF690" s="163"/>
      <c r="AG690" s="163"/>
    </row>
    <row r="691" spans="21:33">
      <c r="U691" s="163"/>
      <c r="V691" s="163"/>
      <c r="W691" s="163"/>
      <c r="X691" s="163"/>
      <c r="Y691" s="163"/>
      <c r="Z691" s="163"/>
      <c r="AA691" s="163"/>
      <c r="AB691" s="163"/>
      <c r="AC691" s="163"/>
      <c r="AD691" s="163"/>
      <c r="AE691" s="163"/>
      <c r="AF691" s="163"/>
      <c r="AG691" s="163"/>
    </row>
    <row r="692" spans="21:33">
      <c r="U692" s="163"/>
      <c r="V692" s="163"/>
      <c r="W692" s="163"/>
      <c r="X692" s="163"/>
      <c r="Y692" s="163"/>
      <c r="Z692" s="163"/>
      <c r="AA692" s="163"/>
      <c r="AB692" s="163"/>
      <c r="AC692" s="163"/>
      <c r="AD692" s="163"/>
      <c r="AE692" s="163"/>
      <c r="AF692" s="163"/>
      <c r="AG692" s="163"/>
    </row>
    <row r="693" spans="21:33">
      <c r="U693" s="163"/>
      <c r="V693" s="163"/>
      <c r="W693" s="163"/>
      <c r="X693" s="163"/>
      <c r="Y693" s="163"/>
      <c r="Z693" s="163"/>
      <c r="AA693" s="163"/>
      <c r="AB693" s="163"/>
      <c r="AC693" s="163"/>
      <c r="AD693" s="163"/>
      <c r="AE693" s="163"/>
      <c r="AF693" s="163"/>
      <c r="AG693" s="163"/>
    </row>
    <row r="694" spans="21:33">
      <c r="U694" s="163"/>
      <c r="V694" s="163"/>
      <c r="W694" s="163"/>
      <c r="X694" s="163"/>
      <c r="Y694" s="163"/>
      <c r="Z694" s="163"/>
      <c r="AA694" s="163"/>
      <c r="AB694" s="163"/>
      <c r="AC694" s="163"/>
      <c r="AD694" s="163"/>
      <c r="AE694" s="163"/>
      <c r="AF694" s="163"/>
      <c r="AG694" s="163"/>
    </row>
    <row r="695" spans="21:33">
      <c r="U695" s="163"/>
      <c r="V695" s="163"/>
      <c r="W695" s="163"/>
      <c r="X695" s="163"/>
      <c r="Y695" s="163"/>
      <c r="Z695" s="163"/>
      <c r="AA695" s="163"/>
      <c r="AB695" s="163"/>
      <c r="AC695" s="163"/>
      <c r="AD695" s="163"/>
      <c r="AE695" s="163"/>
      <c r="AF695" s="163"/>
      <c r="AG695" s="163"/>
    </row>
    <row r="696" spans="21:33">
      <c r="U696" s="163"/>
      <c r="V696" s="163"/>
      <c r="W696" s="163"/>
      <c r="X696" s="163"/>
      <c r="Y696" s="163"/>
      <c r="Z696" s="163"/>
      <c r="AA696" s="163"/>
      <c r="AB696" s="163"/>
      <c r="AC696" s="163"/>
      <c r="AD696" s="163"/>
      <c r="AE696" s="163"/>
      <c r="AF696" s="163"/>
      <c r="AG696" s="163"/>
    </row>
    <row r="697" spans="21:33">
      <c r="U697" s="163"/>
      <c r="V697" s="163"/>
      <c r="W697" s="163"/>
      <c r="X697" s="163"/>
      <c r="Y697" s="163"/>
      <c r="Z697" s="163"/>
      <c r="AA697" s="163"/>
      <c r="AB697" s="163"/>
      <c r="AC697" s="163"/>
      <c r="AD697" s="163"/>
      <c r="AE697" s="163"/>
      <c r="AF697" s="163"/>
      <c r="AG697" s="163"/>
    </row>
    <row r="698" spans="21:33">
      <c r="U698" s="163"/>
      <c r="V698" s="163"/>
      <c r="W698" s="163"/>
      <c r="X698" s="163"/>
      <c r="Y698" s="163"/>
      <c r="Z698" s="163"/>
      <c r="AA698" s="163"/>
      <c r="AB698" s="163"/>
      <c r="AC698" s="163"/>
      <c r="AD698" s="163"/>
      <c r="AE698" s="163"/>
      <c r="AF698" s="163"/>
      <c r="AG698" s="163"/>
    </row>
    <row r="699" spans="21:33">
      <c r="U699" s="163"/>
      <c r="V699" s="163"/>
      <c r="W699" s="163"/>
      <c r="X699" s="163"/>
      <c r="Y699" s="163"/>
      <c r="Z699" s="163"/>
      <c r="AA699" s="163"/>
      <c r="AB699" s="163"/>
      <c r="AC699" s="163"/>
      <c r="AD699" s="163"/>
      <c r="AE699" s="163"/>
      <c r="AF699" s="163"/>
      <c r="AG699" s="163"/>
    </row>
    <row r="700" spans="21:33">
      <c r="U700" s="163"/>
      <c r="V700" s="163"/>
      <c r="W700" s="163"/>
      <c r="X700" s="163"/>
      <c r="Y700" s="163"/>
      <c r="Z700" s="163"/>
      <c r="AA700" s="163"/>
      <c r="AB700" s="163"/>
      <c r="AC700" s="163"/>
      <c r="AD700" s="163"/>
      <c r="AE700" s="163"/>
      <c r="AF700" s="163"/>
      <c r="AG700" s="163"/>
    </row>
    <row r="701" spans="21:33">
      <c r="U701" s="163"/>
      <c r="V701" s="163"/>
      <c r="W701" s="163"/>
      <c r="X701" s="163"/>
      <c r="Y701" s="163"/>
      <c r="Z701" s="163"/>
      <c r="AA701" s="163"/>
      <c r="AB701" s="163"/>
      <c r="AC701" s="163"/>
      <c r="AD701" s="163"/>
      <c r="AE701" s="163"/>
      <c r="AF701" s="163"/>
      <c r="AG701" s="163"/>
    </row>
    <row r="702" spans="21:33">
      <c r="U702" s="163"/>
      <c r="V702" s="163"/>
      <c r="W702" s="163"/>
      <c r="X702" s="163"/>
      <c r="Y702" s="163"/>
      <c r="Z702" s="163"/>
      <c r="AA702" s="163"/>
      <c r="AB702" s="163"/>
      <c r="AC702" s="163"/>
      <c r="AD702" s="163"/>
      <c r="AE702" s="163"/>
      <c r="AF702" s="163"/>
      <c r="AG702" s="163"/>
    </row>
    <row r="703" spans="21:33">
      <c r="U703" s="163"/>
      <c r="V703" s="163"/>
      <c r="W703" s="163"/>
      <c r="X703" s="163"/>
      <c r="Y703" s="163"/>
      <c r="Z703" s="163"/>
      <c r="AA703" s="163"/>
      <c r="AB703" s="163"/>
      <c r="AC703" s="163"/>
      <c r="AD703" s="163"/>
      <c r="AE703" s="163"/>
      <c r="AF703" s="163"/>
      <c r="AG703" s="163"/>
    </row>
    <row r="704" spans="21:33">
      <c r="U704" s="163"/>
      <c r="V704" s="163"/>
      <c r="W704" s="163"/>
      <c r="X704" s="163"/>
      <c r="Y704" s="163"/>
      <c r="Z704" s="163"/>
      <c r="AA704" s="163"/>
      <c r="AB704" s="163"/>
      <c r="AC704" s="163"/>
      <c r="AD704" s="163"/>
      <c r="AE704" s="163"/>
      <c r="AF704" s="163"/>
      <c r="AG704" s="163"/>
    </row>
    <row r="705" spans="21:33">
      <c r="U705" s="163"/>
      <c r="V705" s="163"/>
      <c r="W705" s="163"/>
      <c r="X705" s="163"/>
      <c r="Y705" s="163"/>
      <c r="Z705" s="163"/>
      <c r="AA705" s="163"/>
      <c r="AB705" s="163"/>
      <c r="AC705" s="163"/>
      <c r="AD705" s="163"/>
      <c r="AE705" s="163"/>
      <c r="AF705" s="163"/>
      <c r="AG705" s="163"/>
    </row>
    <row r="706" spans="21:33">
      <c r="U706" s="163"/>
      <c r="V706" s="163"/>
      <c r="W706" s="163"/>
      <c r="X706" s="163"/>
      <c r="Y706" s="163"/>
      <c r="Z706" s="163"/>
      <c r="AA706" s="163"/>
      <c r="AB706" s="163"/>
      <c r="AC706" s="163"/>
      <c r="AD706" s="163"/>
      <c r="AE706" s="163"/>
      <c r="AF706" s="163"/>
      <c r="AG706" s="163"/>
    </row>
    <row r="707" spans="21:33">
      <c r="U707" s="163"/>
      <c r="V707" s="163"/>
      <c r="W707" s="163"/>
      <c r="X707" s="163"/>
      <c r="Y707" s="163"/>
      <c r="Z707" s="163"/>
      <c r="AA707" s="163"/>
      <c r="AB707" s="163"/>
      <c r="AC707" s="163"/>
      <c r="AD707" s="163"/>
      <c r="AE707" s="163"/>
      <c r="AF707" s="163"/>
      <c r="AG707" s="163"/>
    </row>
    <row r="708" spans="21:33">
      <c r="U708" s="163"/>
      <c r="V708" s="163"/>
      <c r="W708" s="163"/>
      <c r="X708" s="163"/>
      <c r="Y708" s="163"/>
      <c r="Z708" s="163"/>
      <c r="AA708" s="163"/>
      <c r="AB708" s="163"/>
      <c r="AC708" s="163"/>
      <c r="AD708" s="163"/>
      <c r="AE708" s="163"/>
      <c r="AF708" s="163"/>
      <c r="AG708" s="163"/>
    </row>
    <row r="709" spans="21:33">
      <c r="U709" s="163"/>
      <c r="V709" s="163"/>
      <c r="W709" s="163"/>
      <c r="X709" s="163"/>
      <c r="Y709" s="163"/>
      <c r="Z709" s="163"/>
      <c r="AA709" s="163"/>
      <c r="AB709" s="163"/>
      <c r="AC709" s="163"/>
      <c r="AD709" s="163"/>
      <c r="AE709" s="163"/>
      <c r="AF709" s="163"/>
      <c r="AG709" s="163"/>
    </row>
    <row r="710" spans="21:33">
      <c r="U710" s="163"/>
      <c r="V710" s="163"/>
      <c r="W710" s="163"/>
      <c r="X710" s="163"/>
      <c r="Y710" s="163"/>
      <c r="Z710" s="163"/>
      <c r="AA710" s="163"/>
      <c r="AB710" s="163"/>
      <c r="AC710" s="163"/>
      <c r="AD710" s="163"/>
      <c r="AE710" s="163"/>
      <c r="AF710" s="163"/>
      <c r="AG710" s="163"/>
    </row>
    <row r="711" spans="21:33">
      <c r="U711" s="163"/>
      <c r="V711" s="163"/>
      <c r="W711" s="163"/>
      <c r="X711" s="163"/>
      <c r="Y711" s="163"/>
      <c r="Z711" s="163"/>
      <c r="AA711" s="163"/>
      <c r="AB711" s="163"/>
      <c r="AC711" s="163"/>
      <c r="AD711" s="163"/>
      <c r="AE711" s="163"/>
      <c r="AF711" s="163"/>
      <c r="AG711" s="163"/>
    </row>
    <row r="712" spans="21:33">
      <c r="U712" s="163"/>
      <c r="V712" s="163"/>
      <c r="W712" s="163"/>
      <c r="X712" s="163"/>
      <c r="Y712" s="163"/>
      <c r="Z712" s="163"/>
      <c r="AA712" s="163"/>
      <c r="AB712" s="163"/>
      <c r="AC712" s="163"/>
      <c r="AD712" s="163"/>
      <c r="AE712" s="163"/>
      <c r="AF712" s="163"/>
      <c r="AG712" s="163"/>
    </row>
    <row r="713" spans="21:33">
      <c r="U713" s="163"/>
      <c r="V713" s="163"/>
      <c r="W713" s="163"/>
      <c r="X713" s="163"/>
      <c r="Y713" s="163"/>
      <c r="Z713" s="163"/>
      <c r="AA713" s="163"/>
      <c r="AB713" s="163"/>
      <c r="AC713" s="163"/>
      <c r="AD713" s="163"/>
      <c r="AE713" s="163"/>
      <c r="AF713" s="163"/>
      <c r="AG713" s="163"/>
    </row>
    <row r="714" spans="21:33">
      <c r="U714" s="163"/>
      <c r="V714" s="163"/>
      <c r="W714" s="163"/>
      <c r="X714" s="163"/>
      <c r="Y714" s="163"/>
      <c r="Z714" s="163"/>
      <c r="AA714" s="163"/>
      <c r="AB714" s="163"/>
      <c r="AC714" s="163"/>
      <c r="AD714" s="163"/>
      <c r="AE714" s="163"/>
      <c r="AF714" s="163"/>
      <c r="AG714" s="163"/>
    </row>
    <row r="715" spans="21:33">
      <c r="U715" s="163"/>
      <c r="V715" s="163"/>
      <c r="W715" s="163"/>
      <c r="X715" s="163"/>
      <c r="Y715" s="163"/>
      <c r="Z715" s="163"/>
      <c r="AA715" s="163"/>
      <c r="AB715" s="163"/>
      <c r="AC715" s="163"/>
      <c r="AD715" s="163"/>
      <c r="AE715" s="163"/>
      <c r="AF715" s="163"/>
      <c r="AG715" s="163"/>
    </row>
    <row r="716" spans="21:33">
      <c r="U716" s="163"/>
      <c r="V716" s="163"/>
      <c r="W716" s="163"/>
      <c r="X716" s="163"/>
      <c r="Y716" s="163"/>
      <c r="Z716" s="163"/>
      <c r="AA716" s="163"/>
      <c r="AB716" s="163"/>
      <c r="AC716" s="163"/>
      <c r="AD716" s="163"/>
      <c r="AE716" s="163"/>
      <c r="AF716" s="163"/>
      <c r="AG716" s="163"/>
    </row>
    <row r="717" spans="21:33">
      <c r="U717" s="163"/>
      <c r="V717" s="163"/>
      <c r="W717" s="163"/>
      <c r="X717" s="163"/>
      <c r="Y717" s="163"/>
      <c r="Z717" s="163"/>
      <c r="AA717" s="163"/>
      <c r="AB717" s="163"/>
      <c r="AC717" s="163"/>
      <c r="AD717" s="163"/>
      <c r="AE717" s="163"/>
      <c r="AF717" s="163"/>
      <c r="AG717" s="163"/>
    </row>
    <row r="718" spans="21:33">
      <c r="U718" s="163"/>
      <c r="V718" s="163"/>
      <c r="W718" s="163"/>
      <c r="X718" s="163"/>
      <c r="Y718" s="163"/>
      <c r="Z718" s="163"/>
      <c r="AA718" s="163"/>
      <c r="AB718" s="163"/>
      <c r="AC718" s="163"/>
      <c r="AD718" s="163"/>
      <c r="AE718" s="163"/>
      <c r="AF718" s="163"/>
      <c r="AG718" s="163"/>
    </row>
    <row r="719" spans="21:33">
      <c r="U719" s="163"/>
      <c r="V719" s="163"/>
      <c r="W719" s="163"/>
      <c r="X719" s="163"/>
      <c r="Y719" s="163"/>
      <c r="Z719" s="163"/>
      <c r="AA719" s="163"/>
      <c r="AB719" s="163"/>
      <c r="AC719" s="163"/>
      <c r="AD719" s="163"/>
      <c r="AE719" s="163"/>
      <c r="AF719" s="163"/>
      <c r="AG719" s="163"/>
    </row>
    <row r="720" spans="21:33">
      <c r="U720" s="163"/>
      <c r="V720" s="163"/>
      <c r="W720" s="163"/>
      <c r="X720" s="163"/>
      <c r="Y720" s="163"/>
      <c r="Z720" s="163"/>
      <c r="AA720" s="163"/>
      <c r="AB720" s="163"/>
      <c r="AC720" s="163"/>
      <c r="AD720" s="163"/>
      <c r="AE720" s="163"/>
      <c r="AF720" s="163"/>
      <c r="AG720" s="163"/>
    </row>
    <row r="721" spans="21:33">
      <c r="U721" s="163"/>
      <c r="V721" s="163"/>
      <c r="W721" s="163"/>
      <c r="X721" s="163"/>
      <c r="Y721" s="163"/>
      <c r="Z721" s="163"/>
      <c r="AA721" s="163"/>
      <c r="AB721" s="163"/>
      <c r="AC721" s="163"/>
      <c r="AD721" s="163"/>
      <c r="AE721" s="163"/>
      <c r="AF721" s="163"/>
      <c r="AG721" s="163"/>
    </row>
    <row r="722" spans="21:33">
      <c r="U722" s="163"/>
      <c r="V722" s="163"/>
      <c r="W722" s="163"/>
      <c r="X722" s="163"/>
      <c r="Y722" s="163"/>
      <c r="Z722" s="163"/>
      <c r="AA722" s="163"/>
      <c r="AB722" s="163"/>
      <c r="AC722" s="163"/>
      <c r="AD722" s="163"/>
      <c r="AE722" s="163"/>
      <c r="AF722" s="163"/>
      <c r="AG722" s="163"/>
    </row>
    <row r="723" spans="21:33">
      <c r="U723" s="163"/>
      <c r="V723" s="163"/>
      <c r="W723" s="163"/>
      <c r="X723" s="163"/>
      <c r="Y723" s="163"/>
      <c r="Z723" s="163"/>
      <c r="AA723" s="163"/>
      <c r="AB723" s="163"/>
      <c r="AC723" s="163"/>
      <c r="AD723" s="163"/>
      <c r="AE723" s="163"/>
      <c r="AF723" s="163"/>
      <c r="AG723" s="163"/>
    </row>
    <row r="724" spans="21:33">
      <c r="U724" s="163"/>
      <c r="V724" s="163"/>
      <c r="W724" s="163"/>
      <c r="X724" s="163"/>
      <c r="Y724" s="163"/>
      <c r="Z724" s="163"/>
      <c r="AA724" s="163"/>
      <c r="AB724" s="163"/>
      <c r="AC724" s="163"/>
      <c r="AD724" s="163"/>
      <c r="AE724" s="163"/>
      <c r="AF724" s="163"/>
      <c r="AG724" s="163"/>
    </row>
    <row r="725" spans="21:33">
      <c r="U725" s="163"/>
      <c r="V725" s="163"/>
      <c r="W725" s="163"/>
      <c r="X725" s="163"/>
      <c r="Y725" s="163"/>
      <c r="Z725" s="163"/>
      <c r="AA725" s="163"/>
      <c r="AB725" s="163"/>
      <c r="AC725" s="163"/>
      <c r="AD725" s="163"/>
      <c r="AE725" s="163"/>
      <c r="AF725" s="163"/>
      <c r="AG725" s="163"/>
    </row>
    <row r="726" spans="21:33">
      <c r="U726" s="163"/>
      <c r="V726" s="163"/>
      <c r="W726" s="163"/>
      <c r="X726" s="163"/>
      <c r="Y726" s="163"/>
      <c r="Z726" s="163"/>
      <c r="AA726" s="163"/>
      <c r="AB726" s="163"/>
      <c r="AC726" s="163"/>
      <c r="AD726" s="163"/>
      <c r="AE726" s="163"/>
      <c r="AF726" s="163"/>
      <c r="AG726" s="163"/>
    </row>
    <row r="727" spans="21:33">
      <c r="U727" s="163"/>
      <c r="V727" s="163"/>
      <c r="W727" s="163"/>
      <c r="X727" s="163"/>
      <c r="Y727" s="163"/>
      <c r="Z727" s="163"/>
      <c r="AA727" s="163"/>
      <c r="AB727" s="163"/>
      <c r="AC727" s="163"/>
      <c r="AD727" s="163"/>
      <c r="AE727" s="163"/>
      <c r="AF727" s="163"/>
      <c r="AG727" s="163"/>
    </row>
    <row r="728" spans="21:33">
      <c r="U728" s="163"/>
      <c r="V728" s="163"/>
      <c r="W728" s="163"/>
      <c r="X728" s="163"/>
      <c r="Y728" s="163"/>
      <c r="Z728" s="163"/>
      <c r="AA728" s="163"/>
      <c r="AB728" s="163"/>
      <c r="AC728" s="163"/>
      <c r="AD728" s="163"/>
      <c r="AE728" s="163"/>
      <c r="AF728" s="163"/>
      <c r="AG728" s="163"/>
    </row>
    <row r="729" spans="21:33">
      <c r="U729" s="163"/>
      <c r="V729" s="163"/>
      <c r="W729" s="163"/>
      <c r="X729" s="163"/>
      <c r="Y729" s="163"/>
      <c r="Z729" s="163"/>
      <c r="AA729" s="163"/>
      <c r="AB729" s="163"/>
      <c r="AC729" s="163"/>
      <c r="AD729" s="163"/>
      <c r="AE729" s="163"/>
      <c r="AF729" s="163"/>
      <c r="AG729" s="163"/>
    </row>
    <row r="730" spans="21:33">
      <c r="U730" s="163"/>
      <c r="V730" s="163"/>
      <c r="W730" s="163"/>
      <c r="X730" s="163"/>
      <c r="Y730" s="163"/>
      <c r="Z730" s="163"/>
      <c r="AA730" s="163"/>
      <c r="AB730" s="163"/>
      <c r="AC730" s="163"/>
      <c r="AD730" s="163"/>
      <c r="AE730" s="163"/>
      <c r="AF730" s="163"/>
      <c r="AG730" s="163"/>
    </row>
    <row r="731" spans="21:33">
      <c r="U731" s="163"/>
      <c r="V731" s="163"/>
      <c r="W731" s="163"/>
      <c r="X731" s="163"/>
      <c r="Y731" s="163"/>
      <c r="Z731" s="163"/>
      <c r="AA731" s="163"/>
      <c r="AB731" s="163"/>
      <c r="AC731" s="163"/>
      <c r="AD731" s="163"/>
      <c r="AE731" s="163"/>
      <c r="AF731" s="163"/>
      <c r="AG731" s="163"/>
    </row>
    <row r="732" spans="21:33">
      <c r="U732" s="163"/>
      <c r="V732" s="163"/>
      <c r="W732" s="163"/>
      <c r="X732" s="163"/>
      <c r="Y732" s="163"/>
      <c r="Z732" s="163"/>
      <c r="AA732" s="163"/>
      <c r="AB732" s="163"/>
      <c r="AC732" s="163"/>
      <c r="AD732" s="163"/>
      <c r="AE732" s="163"/>
      <c r="AF732" s="163"/>
      <c r="AG732" s="163"/>
    </row>
    <row r="733" spans="21:33">
      <c r="U733" s="163"/>
      <c r="V733" s="163"/>
      <c r="W733" s="163"/>
      <c r="X733" s="163"/>
      <c r="Y733" s="163"/>
      <c r="Z733" s="163"/>
      <c r="AA733" s="163"/>
      <c r="AB733" s="163"/>
      <c r="AC733" s="163"/>
      <c r="AD733" s="163"/>
      <c r="AE733" s="163"/>
      <c r="AF733" s="163"/>
      <c r="AG733" s="163"/>
    </row>
    <row r="734" spans="21:33">
      <c r="U734" s="163"/>
      <c r="V734" s="163"/>
      <c r="W734" s="163"/>
      <c r="X734" s="163"/>
      <c r="Y734" s="163"/>
      <c r="Z734" s="163"/>
      <c r="AA734" s="163"/>
      <c r="AB734" s="163"/>
      <c r="AC734" s="163"/>
      <c r="AD734" s="163"/>
      <c r="AE734" s="163"/>
      <c r="AF734" s="163"/>
      <c r="AG734" s="163"/>
    </row>
    <row r="735" spans="21:33">
      <c r="U735" s="163"/>
      <c r="V735" s="163"/>
      <c r="W735" s="163"/>
      <c r="X735" s="163"/>
      <c r="Y735" s="163"/>
      <c r="Z735" s="163"/>
      <c r="AA735" s="163"/>
      <c r="AB735" s="163"/>
      <c r="AC735" s="163"/>
      <c r="AD735" s="163"/>
      <c r="AE735" s="163"/>
      <c r="AF735" s="163"/>
      <c r="AG735" s="163"/>
    </row>
    <row r="736" spans="21:33">
      <c r="U736" s="163"/>
      <c r="V736" s="163"/>
      <c r="W736" s="163"/>
      <c r="X736" s="163"/>
      <c r="Y736" s="163"/>
      <c r="Z736" s="163"/>
      <c r="AA736" s="163"/>
      <c r="AB736" s="163"/>
      <c r="AC736" s="163"/>
      <c r="AD736" s="163"/>
      <c r="AE736" s="163"/>
      <c r="AF736" s="163"/>
      <c r="AG736" s="163"/>
    </row>
    <row r="737" spans="21:33">
      <c r="U737" s="163"/>
      <c r="V737" s="163"/>
      <c r="W737" s="163"/>
      <c r="X737" s="163"/>
      <c r="Y737" s="163"/>
      <c r="Z737" s="163"/>
      <c r="AA737" s="163"/>
      <c r="AB737" s="163"/>
      <c r="AC737" s="163"/>
      <c r="AD737" s="163"/>
      <c r="AE737" s="163"/>
      <c r="AF737" s="163"/>
      <c r="AG737" s="163"/>
    </row>
    <row r="738" spans="21:33">
      <c r="U738" s="163"/>
      <c r="V738" s="163"/>
      <c r="W738" s="163"/>
      <c r="X738" s="163"/>
      <c r="Y738" s="163"/>
      <c r="Z738" s="163"/>
      <c r="AA738" s="163"/>
      <c r="AB738" s="163"/>
      <c r="AC738" s="163"/>
      <c r="AD738" s="163"/>
      <c r="AE738" s="163"/>
      <c r="AF738" s="163"/>
      <c r="AG738" s="163"/>
    </row>
    <row r="739" spans="21:33">
      <c r="U739" s="163"/>
      <c r="V739" s="163"/>
      <c r="W739" s="163"/>
      <c r="X739" s="163"/>
      <c r="Y739" s="163"/>
      <c r="Z739" s="163"/>
      <c r="AA739" s="163"/>
      <c r="AB739" s="163"/>
      <c r="AC739" s="163"/>
      <c r="AD739" s="163"/>
      <c r="AE739" s="163"/>
      <c r="AF739" s="163"/>
      <c r="AG739" s="163"/>
    </row>
    <row r="740" spans="21:33">
      <c r="U740" s="163"/>
      <c r="V740" s="163"/>
      <c r="W740" s="163"/>
      <c r="X740" s="163"/>
      <c r="Y740" s="163"/>
      <c r="Z740" s="163"/>
      <c r="AA740" s="163"/>
      <c r="AB740" s="163"/>
      <c r="AC740" s="163"/>
      <c r="AD740" s="163"/>
      <c r="AE740" s="163"/>
      <c r="AF740" s="163"/>
      <c r="AG740" s="163"/>
    </row>
    <row r="741" spans="21:33">
      <c r="U741" s="163"/>
      <c r="V741" s="163"/>
      <c r="W741" s="163"/>
      <c r="X741" s="163"/>
      <c r="Y741" s="163"/>
      <c r="Z741" s="163"/>
      <c r="AA741" s="163"/>
      <c r="AB741" s="163"/>
      <c r="AC741" s="163"/>
      <c r="AD741" s="163"/>
      <c r="AE741" s="163"/>
      <c r="AF741" s="163"/>
      <c r="AG741" s="163"/>
    </row>
    <row r="742" spans="21:33">
      <c r="U742" s="163"/>
      <c r="V742" s="163"/>
      <c r="W742" s="163"/>
      <c r="X742" s="163"/>
      <c r="Y742" s="163"/>
      <c r="Z742" s="163"/>
      <c r="AA742" s="163"/>
      <c r="AB742" s="163"/>
      <c r="AC742" s="163"/>
      <c r="AD742" s="163"/>
      <c r="AE742" s="163"/>
      <c r="AF742" s="163"/>
      <c r="AG742" s="163"/>
    </row>
    <row r="743" spans="21:33">
      <c r="U743" s="163"/>
      <c r="V743" s="163"/>
      <c r="W743" s="163"/>
      <c r="X743" s="163"/>
      <c r="Y743" s="163"/>
      <c r="Z743" s="163"/>
      <c r="AA743" s="163"/>
      <c r="AB743" s="163"/>
      <c r="AC743" s="163"/>
      <c r="AD743" s="163"/>
      <c r="AE743" s="163"/>
      <c r="AF743" s="163"/>
      <c r="AG743" s="163"/>
    </row>
    <row r="744" spans="21:33">
      <c r="U744" s="163"/>
      <c r="V744" s="163"/>
      <c r="W744" s="163"/>
      <c r="X744" s="163"/>
      <c r="Y744" s="163"/>
      <c r="Z744" s="163"/>
      <c r="AA744" s="163"/>
      <c r="AB744" s="163"/>
      <c r="AC744" s="163"/>
      <c r="AD744" s="163"/>
      <c r="AE744" s="163"/>
      <c r="AF744" s="163"/>
      <c r="AG744" s="163"/>
    </row>
    <row r="745" spans="21:33">
      <c r="U745" s="163"/>
      <c r="V745" s="163"/>
      <c r="W745" s="163"/>
      <c r="X745" s="163"/>
      <c r="Y745" s="163"/>
      <c r="Z745" s="163"/>
      <c r="AA745" s="163"/>
      <c r="AB745" s="163"/>
      <c r="AC745" s="163"/>
      <c r="AD745" s="163"/>
      <c r="AE745" s="163"/>
      <c r="AF745" s="163"/>
      <c r="AG745" s="163"/>
    </row>
    <row r="746" spans="21:33">
      <c r="U746" s="163"/>
      <c r="V746" s="163"/>
      <c r="W746" s="163"/>
      <c r="X746" s="163"/>
      <c r="Y746" s="163"/>
      <c r="Z746" s="163"/>
      <c r="AA746" s="163"/>
      <c r="AB746" s="163"/>
      <c r="AC746" s="163"/>
      <c r="AD746" s="163"/>
      <c r="AE746" s="163"/>
      <c r="AF746" s="163"/>
      <c r="AG746" s="163"/>
    </row>
    <row r="747" spans="21:33">
      <c r="U747" s="163"/>
      <c r="V747" s="163"/>
      <c r="W747" s="163"/>
      <c r="X747" s="163"/>
      <c r="Y747" s="163"/>
      <c r="Z747" s="163"/>
      <c r="AA747" s="163"/>
      <c r="AB747" s="163"/>
      <c r="AC747" s="163"/>
      <c r="AD747" s="163"/>
      <c r="AE747" s="163"/>
      <c r="AF747" s="163"/>
      <c r="AG747" s="163"/>
    </row>
    <row r="748" spans="21:33">
      <c r="U748" s="163"/>
      <c r="V748" s="163"/>
      <c r="W748" s="163"/>
      <c r="X748" s="163"/>
      <c r="Y748" s="163"/>
      <c r="Z748" s="163"/>
      <c r="AA748" s="163"/>
      <c r="AB748" s="163"/>
      <c r="AC748" s="163"/>
      <c r="AD748" s="163"/>
      <c r="AE748" s="163"/>
      <c r="AF748" s="163"/>
      <c r="AG748" s="163"/>
    </row>
    <row r="749" spans="21:33">
      <c r="U749" s="163"/>
      <c r="V749" s="163"/>
      <c r="W749" s="163"/>
      <c r="X749" s="163"/>
      <c r="Y749" s="163"/>
      <c r="Z749" s="163"/>
      <c r="AA749" s="163"/>
      <c r="AB749" s="163"/>
      <c r="AC749" s="163"/>
      <c r="AD749" s="163"/>
      <c r="AE749" s="163"/>
      <c r="AF749" s="163"/>
      <c r="AG749" s="163"/>
    </row>
    <row r="750" spans="21:33">
      <c r="U750" s="163"/>
      <c r="V750" s="163"/>
      <c r="W750" s="163"/>
      <c r="X750" s="163"/>
      <c r="Y750" s="163"/>
      <c r="Z750" s="163"/>
      <c r="AA750" s="163"/>
      <c r="AB750" s="163"/>
      <c r="AC750" s="163"/>
      <c r="AD750" s="163"/>
      <c r="AE750" s="163"/>
      <c r="AF750" s="163"/>
      <c r="AG750" s="163"/>
    </row>
    <row r="751" spans="21:33">
      <c r="U751" s="163"/>
      <c r="V751" s="163"/>
      <c r="W751" s="163"/>
      <c r="X751" s="163"/>
      <c r="Y751" s="163"/>
      <c r="Z751" s="163"/>
      <c r="AA751" s="163"/>
      <c r="AB751" s="163"/>
      <c r="AC751" s="163"/>
      <c r="AD751" s="163"/>
      <c r="AE751" s="163"/>
      <c r="AF751" s="163"/>
      <c r="AG751" s="163"/>
    </row>
    <row r="752" spans="21:33">
      <c r="U752" s="163"/>
      <c r="V752" s="163"/>
      <c r="W752" s="163"/>
      <c r="X752" s="163"/>
      <c r="Y752" s="163"/>
      <c r="Z752" s="163"/>
      <c r="AA752" s="163"/>
      <c r="AB752" s="163"/>
      <c r="AC752" s="163"/>
      <c r="AD752" s="163"/>
      <c r="AE752" s="163"/>
      <c r="AF752" s="163"/>
      <c r="AG752" s="163"/>
    </row>
    <row r="753" spans="21:33">
      <c r="U753" s="163"/>
      <c r="V753" s="163"/>
      <c r="W753" s="163"/>
      <c r="X753" s="163"/>
      <c r="Y753" s="163"/>
      <c r="Z753" s="163"/>
      <c r="AA753" s="163"/>
      <c r="AB753" s="163"/>
      <c r="AC753" s="163"/>
      <c r="AD753" s="163"/>
      <c r="AE753" s="163"/>
      <c r="AF753" s="163"/>
      <c r="AG753" s="163"/>
    </row>
    <row r="754" spans="21:33">
      <c r="U754" s="163"/>
      <c r="V754" s="163"/>
      <c r="W754" s="163"/>
      <c r="X754" s="163"/>
      <c r="Y754" s="163"/>
      <c r="Z754" s="163"/>
      <c r="AA754" s="163"/>
      <c r="AB754" s="163"/>
      <c r="AC754" s="163"/>
      <c r="AD754" s="163"/>
      <c r="AE754" s="163"/>
      <c r="AF754" s="163"/>
      <c r="AG754" s="163"/>
    </row>
    <row r="755" spans="21:33">
      <c r="U755" s="163"/>
      <c r="V755" s="163"/>
      <c r="W755" s="163"/>
      <c r="X755" s="163"/>
      <c r="Y755" s="163"/>
      <c r="Z755" s="163"/>
      <c r="AA755" s="163"/>
      <c r="AB755" s="163"/>
      <c r="AC755" s="163"/>
      <c r="AD755" s="163"/>
      <c r="AE755" s="163"/>
      <c r="AF755" s="163"/>
      <c r="AG755" s="163"/>
    </row>
  </sheetData>
  <sheetProtection algorithmName="SHA-512" hashValue="SqFGnoG6ctTIuH4OEOcKy5QeDgH0LijFbTTe8Avz4wqV3cvyvv1kS3JXM9s7DUD4wkMvTRCa7SjUjvyr8HUj8g==" saltValue="9OYtqh97PMyURqi7nMq8B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B1:J91"/>
  <sheetViews>
    <sheetView showGridLines="0" zoomScale="60" zoomScaleNormal="60" zoomScaleSheetLayoutView="90" workbookViewId="0">
      <selection activeCell="B1" sqref="B1:E6"/>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2:7" ht="26.25">
      <c r="B1" s="1221" t="s">
        <v>652</v>
      </c>
      <c r="C1" s="1221"/>
      <c r="D1" s="1221"/>
      <c r="E1" s="1221"/>
      <c r="F1" s="546"/>
      <c r="G1" s="546"/>
    </row>
    <row r="2" spans="2:7" ht="26.25">
      <c r="B2" s="1222" t="s">
        <v>259</v>
      </c>
      <c r="C2" s="1222"/>
      <c r="D2" s="1222"/>
      <c r="E2" s="1222"/>
      <c r="F2" s="695"/>
      <c r="G2" s="695"/>
    </row>
    <row r="3" spans="2:7" ht="26.25">
      <c r="B3" s="1222" t="s">
        <v>444</v>
      </c>
      <c r="C3" s="1222"/>
      <c r="D3" s="1222"/>
      <c r="E3" s="1222"/>
      <c r="F3" s="695"/>
      <c r="G3" s="695"/>
    </row>
    <row r="4" spans="2:7" ht="26.25">
      <c r="B4" s="1222" t="s">
        <v>653</v>
      </c>
      <c r="C4" s="1222"/>
      <c r="D4" s="1222"/>
      <c r="E4" s="1222"/>
      <c r="F4" s="695"/>
      <c r="G4" s="695"/>
    </row>
    <row r="5" spans="2:7" ht="26.25">
      <c r="B5" s="1221" t="s">
        <v>777</v>
      </c>
      <c r="C5" s="1221"/>
      <c r="D5" s="1221"/>
      <c r="E5" s="1221"/>
      <c r="F5" s="545"/>
      <c r="G5" s="545"/>
    </row>
    <row r="6" spans="2:7" ht="25.15" customHeight="1">
      <c r="B6" s="1221"/>
      <c r="C6" s="1221"/>
      <c r="D6" s="1221"/>
      <c r="E6" s="1221"/>
      <c r="F6" s="1106"/>
      <c r="G6" s="1106"/>
    </row>
    <row r="7" spans="2:7" ht="25.15" customHeight="1">
      <c r="B7" s="546"/>
      <c r="C7" s="546"/>
      <c r="D7" s="658"/>
      <c r="E7" s="658"/>
      <c r="F7" s="658"/>
      <c r="G7" s="658"/>
    </row>
    <row r="8" spans="2:7" ht="25.15" customHeight="1">
      <c r="B8" s="660" t="s">
        <v>15</v>
      </c>
      <c r="C8" s="1220" t="str">
        <f>'CHECK SHEET'!D7</f>
        <v>Florida Keys Community College</v>
      </c>
      <c r="D8" s="1220"/>
      <c r="E8" s="1220"/>
      <c r="F8" s="657"/>
      <c r="G8" s="657"/>
    </row>
    <row r="9" spans="2:7" ht="25.15" customHeight="1">
      <c r="D9" s="212"/>
      <c r="E9" s="212"/>
      <c r="F9" s="212"/>
      <c r="G9" s="212"/>
    </row>
    <row r="10" spans="2:7" ht="41.45" customHeight="1">
      <c r="E10" s="307" t="s">
        <v>669</v>
      </c>
    </row>
    <row r="11" spans="2:7" ht="25.15" customHeight="1">
      <c r="B11" s="164" t="s">
        <v>768</v>
      </c>
      <c r="C11" s="164"/>
      <c r="D11" s="164"/>
      <c r="E11" s="286"/>
    </row>
    <row r="12" spans="2:7" ht="25.15" customHeight="1">
      <c r="B12" s="164"/>
      <c r="C12" s="164"/>
      <c r="D12" s="164"/>
    </row>
    <row r="13" spans="2:7" ht="25.15" customHeight="1">
      <c r="B13" s="50" t="s">
        <v>769</v>
      </c>
      <c r="D13" s="164"/>
      <c r="E13" s="866">
        <f>-2715496</f>
        <v>-2715496</v>
      </c>
    </row>
    <row r="14" spans="2:7" ht="25.15" customHeight="1">
      <c r="B14" s="50" t="s">
        <v>650</v>
      </c>
      <c r="C14" s="33"/>
      <c r="D14" s="164"/>
      <c r="E14" s="867">
        <f>4135222*1.1</f>
        <v>4548744.2</v>
      </c>
    </row>
    <row r="15" spans="2:7" ht="25.15" customHeight="1">
      <c r="B15" s="164"/>
      <c r="C15" s="164"/>
      <c r="D15" s="164"/>
      <c r="E15" s="287"/>
    </row>
    <row r="16" spans="2:7" ht="25.15" customHeight="1">
      <c r="B16" s="33" t="s">
        <v>770</v>
      </c>
      <c r="C16" s="48"/>
      <c r="D16" s="48"/>
      <c r="E16" s="297">
        <f>+E14+E13</f>
        <v>1833248.2000000002</v>
      </c>
    </row>
    <row r="17" spans="2:7" ht="25.15" customHeight="1">
      <c r="B17" s="164"/>
      <c r="C17" s="164"/>
      <c r="D17" s="164"/>
      <c r="E17" s="288"/>
    </row>
    <row r="18" spans="2:7" ht="25.15" customHeight="1">
      <c r="B18" s="50" t="s">
        <v>530</v>
      </c>
      <c r="D18" s="164"/>
      <c r="E18" s="308">
        <f>+'EXHIBIT D'!G141-SUM(+'EXHIBIT D'!G130+'EXHIBIT D'!G131+'EXHIBIT D'!G132+'EXHIBIT D'!G133)</f>
        <v>11512665</v>
      </c>
      <c r="G18" s="289"/>
    </row>
    <row r="19" spans="2:7" ht="25.15" customHeight="1">
      <c r="B19" s="50" t="s">
        <v>531</v>
      </c>
      <c r="D19" s="164"/>
      <c r="E19" s="297">
        <f>+'EXHIBIT D'!G130+'EXHIBIT D'!G131+'EXHIBIT D'!G132+'EXHIBIT D'!G133</f>
        <v>14300</v>
      </c>
    </row>
    <row r="20" spans="2:7" ht="25.15" customHeight="1">
      <c r="B20" s="164"/>
      <c r="C20" s="164"/>
      <c r="D20" s="164"/>
      <c r="E20" s="298"/>
    </row>
    <row r="21" spans="2:7" ht="25.15" customHeight="1">
      <c r="B21" s="50" t="s">
        <v>16</v>
      </c>
      <c r="C21" s="164"/>
      <c r="D21" s="164"/>
      <c r="E21" s="295">
        <f>+E19+E18</f>
        <v>11526965</v>
      </c>
    </row>
    <row r="22" spans="2:7" ht="25.15" customHeight="1">
      <c r="B22" s="164"/>
      <c r="C22" s="164"/>
      <c r="D22" s="164"/>
      <c r="E22" s="298"/>
    </row>
    <row r="23" spans="2:7" ht="25.15" customHeight="1">
      <c r="B23" s="164" t="s">
        <v>17</v>
      </c>
      <c r="C23" s="164"/>
      <c r="D23" s="164"/>
      <c r="E23" s="295">
        <f>+E21+E16</f>
        <v>13360213.199999999</v>
      </c>
    </row>
    <row r="24" spans="2:7" ht="25.15" customHeight="1">
      <c r="B24" s="164"/>
      <c r="C24" s="164"/>
      <c r="D24" s="164"/>
      <c r="E24" s="298"/>
    </row>
    <row r="25" spans="2:7" ht="25.15" customHeight="1">
      <c r="B25" s="50" t="s">
        <v>529</v>
      </c>
      <c r="D25" s="164"/>
      <c r="E25" s="309">
        <f>'EXHIBIT D'!G253-SUM(+'EXHIBIT D'!G227+'EXHIBIT D'!G228+'EXHIBIT D'!G229+'EXHIBIT D'!G230+'EXHIBIT D'!G231)</f>
        <v>12687816</v>
      </c>
    </row>
    <row r="26" spans="2:7" ht="25.15" customHeight="1">
      <c r="B26" s="50" t="s">
        <v>479</v>
      </c>
      <c r="D26" s="164"/>
      <c r="E26" s="297">
        <f>'EXHIBIT D'!G227+'EXHIBIT D'!G228+'EXHIBIT D'!G229+'EXHIBIT D'!G230+'EXHIBIT D'!G231</f>
        <v>0</v>
      </c>
    </row>
    <row r="27" spans="2:7" ht="25.15" customHeight="1">
      <c r="B27" s="164"/>
      <c r="C27" s="164"/>
      <c r="D27" s="164"/>
      <c r="E27" s="298"/>
    </row>
    <row r="28" spans="2:7" ht="25.15" customHeight="1">
      <c r="B28" s="164" t="s">
        <v>18</v>
      </c>
      <c r="C28" s="164"/>
      <c r="D28" s="164"/>
      <c r="E28" s="310">
        <f>+E26+E25</f>
        <v>12687816</v>
      </c>
    </row>
    <row r="29" spans="2:7" ht="25.15" customHeight="1">
      <c r="B29" s="164"/>
      <c r="C29" s="164"/>
      <c r="D29" s="164"/>
      <c r="E29" s="290"/>
    </row>
    <row r="30" spans="2:7" ht="25.15" customHeight="1">
      <c r="B30" s="164" t="s">
        <v>771</v>
      </c>
      <c r="C30" s="164"/>
      <c r="D30" s="164"/>
      <c r="E30" s="290"/>
    </row>
    <row r="31" spans="2:7" ht="25.15" customHeight="1">
      <c r="B31" s="164"/>
      <c r="C31" s="164"/>
      <c r="D31" s="164"/>
      <c r="E31" s="290"/>
    </row>
    <row r="32" spans="2:7" ht="25.15" customHeight="1">
      <c r="B32" s="50" t="s">
        <v>19</v>
      </c>
      <c r="C32" s="164"/>
      <c r="D32" s="291">
        <f>+E23-E28</f>
        <v>672397.19999999925</v>
      </c>
      <c r="E32" s="290"/>
    </row>
    <row r="33" spans="2:10" ht="25.15" customHeight="1">
      <c r="B33" s="33" t="s">
        <v>480</v>
      </c>
      <c r="D33" s="292">
        <f>+'EXHIBIT D'!G185</f>
        <v>25000</v>
      </c>
      <c r="E33" s="290"/>
      <c r="J33" s="212"/>
    </row>
    <row r="34" spans="2:10" ht="25.15" customHeight="1">
      <c r="B34" s="164"/>
      <c r="C34" s="164"/>
      <c r="D34" s="164"/>
      <c r="E34" s="290"/>
      <c r="J34" s="293"/>
    </row>
    <row r="35" spans="2:10" ht="25.15" customHeight="1">
      <c r="B35" s="50" t="s">
        <v>772</v>
      </c>
      <c r="C35" s="164"/>
      <c r="D35" s="164"/>
      <c r="E35" s="294">
        <f>+D32+D33</f>
        <v>697397.19999999925</v>
      </c>
      <c r="J35" s="212"/>
    </row>
    <row r="36" spans="2:10" ht="25.15" customHeight="1">
      <c r="B36" s="50" t="s">
        <v>773</v>
      </c>
      <c r="D36" s="164"/>
      <c r="E36" s="295">
        <f>-'EXHIBIT D'!G269</f>
        <v>4573744.2</v>
      </c>
      <c r="J36" s="296"/>
    </row>
    <row r="37" spans="2:10" ht="25.15" customHeight="1">
      <c r="D37" s="164"/>
      <c r="E37" s="294"/>
      <c r="J37" s="212"/>
    </row>
    <row r="38" spans="2:10" ht="25.15" customHeight="1">
      <c r="B38" s="164" t="s">
        <v>774</v>
      </c>
      <c r="C38" s="164"/>
      <c r="D38" s="164"/>
      <c r="E38" s="297">
        <f>+E35-E36</f>
        <v>-3876347.0000000009</v>
      </c>
      <c r="J38" s="212"/>
    </row>
    <row r="39" spans="2:10" ht="25.15" customHeight="1">
      <c r="B39" s="164"/>
      <c r="C39" s="164"/>
      <c r="D39" s="164"/>
      <c r="E39" s="298"/>
    </row>
    <row r="40" spans="2:10" ht="25.15" customHeight="1">
      <c r="B40" s="33" t="s">
        <v>775</v>
      </c>
      <c r="C40" s="33"/>
      <c r="D40" s="48"/>
      <c r="E40" s="299">
        <f>'EXHIBIT D'!G258+'EXHIBIT D'!G259+'EXHIBIT D'!G260+'EXHIBIT D'!G261+'EXHIBIT D'!G262+'EXHIBIT D'!G263+'EXHIBIT D'!G264+'EXHIBIT D'!G265</f>
        <v>667586</v>
      </c>
    </row>
    <row r="41" spans="2:10" ht="25.15" customHeight="1">
      <c r="B41" s="33" t="s">
        <v>651</v>
      </c>
      <c r="D41" s="48"/>
      <c r="E41" s="300"/>
    </row>
    <row r="42" spans="2:10" ht="25.15" customHeight="1">
      <c r="D42" s="164"/>
      <c r="E42" s="301"/>
    </row>
    <row r="43" spans="2:10" ht="25.15" customHeight="1">
      <c r="B43" s="164" t="s">
        <v>475</v>
      </c>
      <c r="C43" s="164"/>
      <c r="D43" s="164"/>
      <c r="E43" s="301"/>
    </row>
    <row r="44" spans="2:10" ht="25.15" customHeight="1">
      <c r="B44" s="164" t="s">
        <v>776</v>
      </c>
      <c r="C44" s="164"/>
      <c r="D44" s="164"/>
      <c r="E44" s="302">
        <f>+E40/E23</f>
        <v>4.9968214579090703E-2</v>
      </c>
    </row>
    <row r="45" spans="2:10" ht="25.15" customHeight="1">
      <c r="B45" s="164"/>
      <c r="C45" s="164"/>
      <c r="D45" s="164"/>
      <c r="E45" s="301"/>
    </row>
    <row r="46" spans="2:10" ht="25.15" customHeight="1">
      <c r="B46" s="164" t="s">
        <v>451</v>
      </c>
      <c r="C46" s="164"/>
      <c r="D46" s="164"/>
      <c r="E46" s="301"/>
    </row>
    <row r="47" spans="2:10" ht="25.15" customHeight="1">
      <c r="B47" s="164"/>
      <c r="C47" s="164"/>
      <c r="D47" s="164"/>
      <c r="E47" s="301"/>
    </row>
    <row r="48" spans="2:10" ht="25.15" customHeight="1">
      <c r="B48" s="164"/>
      <c r="C48" s="164"/>
      <c r="D48" s="164"/>
      <c r="E48" s="301"/>
    </row>
    <row r="49" spans="2:5" ht="25.15" customHeight="1">
      <c r="B49" s="164"/>
      <c r="C49" s="164"/>
      <c r="D49" s="164"/>
      <c r="E49" s="301"/>
    </row>
    <row r="50" spans="2:5" ht="25.15" customHeight="1">
      <c r="B50" s="303"/>
      <c r="C50" s="303"/>
      <c r="D50" s="164"/>
      <c r="E50" s="304"/>
    </row>
    <row r="51" spans="2:5" ht="25.15" customHeight="1">
      <c r="B51" s="164" t="s">
        <v>654</v>
      </c>
      <c r="C51" s="164"/>
      <c r="E51" s="305" t="s">
        <v>20</v>
      </c>
    </row>
    <row r="52" spans="2:5" ht="15.75" customHeight="1">
      <c r="E52" s="306"/>
    </row>
    <row r="53" spans="2:5" ht="15.75" customHeight="1">
      <c r="E53" s="30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46f4BSZ8lQmFDMHK7NBLnC8c5G8+OaCCf8tRTAaNkSrjJoHe41dqnRJuXJ4/mVziiQ20Ln1kr4hbWIMr2gMPIA==" saltValue="iEIyCmu0iI/LoNcLJ/wgt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F43" sqref="F43"/>
    </sheetView>
  </sheetViews>
  <sheetFormatPr defaultColWidth="9.140625" defaultRowHeight="12.75"/>
  <cols>
    <col min="1" max="1" width="98.28515625" style="314" customWidth="1"/>
    <col min="2" max="2" width="18" style="314" customWidth="1"/>
    <col min="3" max="3" width="16.42578125" style="314" customWidth="1"/>
    <col min="4" max="4" width="15.28515625" style="314" customWidth="1"/>
    <col min="5" max="5" width="22.42578125" style="314" customWidth="1"/>
    <col min="6" max="6" width="20.7109375" style="314" customWidth="1"/>
    <col min="7" max="7" width="18.7109375" style="314" customWidth="1"/>
    <col min="8" max="8" width="20.28515625" style="314" bestFit="1" customWidth="1"/>
    <col min="9" max="9" width="20.28515625" style="314" customWidth="1"/>
    <col min="10" max="10" width="2" style="314" customWidth="1"/>
    <col min="11" max="11" width="21" style="314" bestFit="1" customWidth="1"/>
    <col min="12" max="12" width="19.140625" style="314" customWidth="1"/>
    <col min="13" max="13" width="5.7109375" style="314" customWidth="1"/>
    <col min="14" max="16384" width="9.140625" style="314"/>
  </cols>
  <sheetData>
    <row r="1" spans="1:18" s="546" customFormat="1" ht="22.9" customHeight="1">
      <c r="I1" s="1104" t="s">
        <v>21</v>
      </c>
      <c r="L1" s="1104"/>
      <c r="M1" s="1104"/>
      <c r="N1" s="1104"/>
      <c r="O1" s="1104"/>
      <c r="P1" s="1104"/>
      <c r="Q1" s="1104"/>
      <c r="R1" s="1104"/>
    </row>
    <row r="2" spans="1:18" s="546" customFormat="1" ht="19.899999999999999" customHeight="1">
      <c r="A2" s="1225"/>
      <c r="B2" s="1225"/>
      <c r="C2" s="1225"/>
      <c r="D2" s="1225"/>
      <c r="E2" s="1225"/>
      <c r="F2" s="1225"/>
      <c r="G2" s="1225"/>
      <c r="H2" s="1225"/>
    </row>
    <row r="3" spans="1:18" s="546" customFormat="1" ht="19.899999999999999" customHeight="1">
      <c r="A3" s="1222" t="s">
        <v>259</v>
      </c>
      <c r="B3" s="1222"/>
      <c r="C3" s="1222"/>
      <c r="D3" s="1222"/>
      <c r="E3" s="1222"/>
      <c r="F3" s="1222"/>
      <c r="G3" s="1222"/>
      <c r="H3" s="1222"/>
      <c r="I3" s="1105"/>
      <c r="J3" s="545"/>
      <c r="K3" s="545"/>
    </row>
    <row r="4" spans="1:18" s="546" customFormat="1" ht="19.899999999999999" customHeight="1">
      <c r="A4" s="1222" t="s">
        <v>444</v>
      </c>
      <c r="B4" s="1222"/>
      <c r="C4" s="1222"/>
      <c r="D4" s="1222"/>
      <c r="E4" s="1222"/>
      <c r="F4" s="1222"/>
      <c r="G4" s="1222"/>
      <c r="H4" s="1222"/>
      <c r="I4" s="1105"/>
    </row>
    <row r="5" spans="1:18" s="546" customFormat="1" ht="19.899999999999999" customHeight="1">
      <c r="A5" s="1222" t="s">
        <v>783</v>
      </c>
      <c r="B5" s="1222"/>
      <c r="C5" s="1222"/>
      <c r="D5" s="1222"/>
      <c r="E5" s="1222"/>
      <c r="F5" s="1222"/>
      <c r="G5" s="1222"/>
      <c r="H5" s="1222"/>
      <c r="I5" s="1105"/>
    </row>
    <row r="6" spans="1:18" s="546" customFormat="1" ht="19.899999999999999" customHeight="1">
      <c r="A6" s="1222" t="s">
        <v>674</v>
      </c>
      <c r="B6" s="1222"/>
      <c r="C6" s="1222"/>
      <c r="D6" s="1222"/>
      <c r="E6" s="1222"/>
      <c r="F6" s="1222"/>
      <c r="G6" s="1222"/>
      <c r="H6" s="1222"/>
      <c r="I6" s="1105"/>
    </row>
    <row r="7" spans="1:18" s="546" customFormat="1" ht="19.899999999999999" customHeight="1">
      <c r="A7" s="1221"/>
      <c r="B7" s="1221"/>
      <c r="C7" s="1221"/>
      <c r="D7" s="1221"/>
      <c r="E7" s="1221"/>
      <c r="F7" s="1221"/>
      <c r="G7" s="1221"/>
      <c r="H7" s="1221"/>
      <c r="I7" s="1106"/>
    </row>
    <row r="8" spans="1:18" s="546" customFormat="1" ht="25.15" customHeight="1" thickBot="1">
      <c r="A8" s="1221"/>
      <c r="B8" s="1225"/>
      <c r="C8" s="1221" t="s">
        <v>15</v>
      </c>
      <c r="D8" s="1226" t="str">
        <f>'CHECK SHEET'!D7</f>
        <v>Florida Keys Community College</v>
      </c>
      <c r="E8" s="1226"/>
      <c r="F8" s="1226"/>
      <c r="G8" s="1226"/>
      <c r="H8" s="1226"/>
    </row>
    <row r="9" spans="1:18" s="50" customFormat="1" ht="19.899999999999999" customHeight="1"/>
    <row r="10" spans="1:18" s="50" customFormat="1" ht="19.899999999999999" customHeight="1">
      <c r="B10" s="164"/>
      <c r="C10" s="164"/>
      <c r="D10" s="164"/>
      <c r="E10" s="1223"/>
      <c r="F10" s="1224"/>
      <c r="G10" s="1224"/>
    </row>
    <row r="11" spans="1:18" s="50" customFormat="1" ht="19.899999999999999" customHeight="1">
      <c r="B11" s="1107" t="s">
        <v>22</v>
      </c>
      <c r="C11" s="1107"/>
      <c r="D11" s="157"/>
      <c r="E11" s="157"/>
    </row>
    <row r="12" spans="1:18" s="50" customFormat="1" ht="19.899999999999999" customHeight="1" thickBot="1">
      <c r="B12" s="1108" t="s">
        <v>537</v>
      </c>
      <c r="C12" s="1108"/>
      <c r="D12" s="1108"/>
      <c r="E12" s="1108"/>
      <c r="J12" s="164"/>
    </row>
    <row r="13" spans="1:18" s="50" customFormat="1" ht="105.75" customHeight="1" thickBot="1">
      <c r="A13" s="661" t="s">
        <v>256</v>
      </c>
      <c r="B13" s="586" t="s">
        <v>7</v>
      </c>
      <c r="C13" s="1113" t="s">
        <v>377</v>
      </c>
      <c r="D13" s="586" t="s">
        <v>455</v>
      </c>
      <c r="E13" s="586" t="s">
        <v>385</v>
      </c>
      <c r="F13" s="1112" t="s">
        <v>386</v>
      </c>
      <c r="G13" s="586" t="s">
        <v>2</v>
      </c>
      <c r="H13" s="1113" t="s">
        <v>609</v>
      </c>
      <c r="I13" s="33"/>
      <c r="J13" s="48"/>
      <c r="K13" s="33"/>
    </row>
    <row r="14" spans="1:18" s="50" customFormat="1" ht="19.899999999999999" customHeight="1">
      <c r="A14" s="662" t="s">
        <v>655</v>
      </c>
      <c r="B14" s="820">
        <v>91.79</v>
      </c>
      <c r="C14" s="820">
        <v>4.59</v>
      </c>
      <c r="D14" s="820">
        <v>9.18</v>
      </c>
      <c r="E14" s="820">
        <v>18.350000000000001</v>
      </c>
      <c r="F14" s="820">
        <v>4.59</v>
      </c>
      <c r="G14" s="663">
        <f>SUM(B14:F14)</f>
        <v>128.5</v>
      </c>
      <c r="H14" s="711">
        <f>G14*30</f>
        <v>3855</v>
      </c>
      <c r="I14" s="33"/>
    </row>
    <row r="15" spans="1:18" s="50" customFormat="1" ht="19.899999999999999" customHeight="1">
      <c r="A15" s="164" t="s">
        <v>673</v>
      </c>
      <c r="B15" s="820">
        <v>82.78</v>
      </c>
      <c r="C15" s="820">
        <v>4.1399999999999997</v>
      </c>
      <c r="D15" s="820">
        <v>8.2799999999999994</v>
      </c>
      <c r="E15" s="820">
        <v>9.8800000000000008</v>
      </c>
      <c r="F15" s="820">
        <v>4.1399999999999997</v>
      </c>
      <c r="G15" s="663">
        <f>SUM(B15:F15)</f>
        <v>109.22</v>
      </c>
      <c r="H15" s="664">
        <f>G15*30</f>
        <v>3276.6</v>
      </c>
      <c r="I15" s="33"/>
    </row>
    <row r="16" spans="1:18" s="50" customFormat="1" ht="19.899999999999999" customHeight="1" thickBot="1">
      <c r="A16" s="48" t="s">
        <v>527</v>
      </c>
      <c r="B16" s="820">
        <v>73.400000000000006</v>
      </c>
      <c r="C16" s="820">
        <v>7.34</v>
      </c>
      <c r="D16" s="628"/>
      <c r="E16" s="820">
        <v>3.67</v>
      </c>
      <c r="F16" s="820">
        <v>3.67</v>
      </c>
      <c r="G16" s="665">
        <f>SUM(B16:F16)</f>
        <v>88.080000000000013</v>
      </c>
      <c r="H16" s="702">
        <f>G16*30</f>
        <v>2642.4000000000005</v>
      </c>
    </row>
    <row r="17" spans="1:11" s="50" customFormat="1" ht="19.899999999999999" customHeight="1" thickBot="1">
      <c r="A17" s="666"/>
      <c r="B17" s="700"/>
      <c r="C17" s="712"/>
      <c r="D17" s="712"/>
      <c r="E17" s="712"/>
      <c r="F17" s="712"/>
      <c r="G17" s="710"/>
      <c r="H17" s="667"/>
    </row>
    <row r="18" spans="1:11" s="50" customFormat="1" ht="64.900000000000006" customHeight="1" thickBot="1">
      <c r="A18" s="699" t="s">
        <v>256</v>
      </c>
      <c r="B18" s="680" t="s">
        <v>504</v>
      </c>
      <c r="C18" s="717"/>
      <c r="D18" s="717"/>
      <c r="E18" s="717"/>
      <c r="F18" s="717"/>
      <c r="G18" s="709" t="s">
        <v>2</v>
      </c>
      <c r="H18" s="1113" t="s">
        <v>610</v>
      </c>
    </row>
    <row r="19" spans="1:11" s="50" customFormat="1" ht="19.899999999999999" customHeight="1">
      <c r="A19" s="164" t="s">
        <v>383</v>
      </c>
      <c r="B19" s="820">
        <v>0</v>
      </c>
      <c r="C19" s="714"/>
      <c r="D19" s="714"/>
      <c r="E19" s="714"/>
      <c r="F19" s="714"/>
      <c r="G19" s="663">
        <f>B19</f>
        <v>0</v>
      </c>
      <c r="H19" s="706">
        <f>G19*3</f>
        <v>0</v>
      </c>
    </row>
    <row r="20" spans="1:11" s="50" customFormat="1" ht="19.899999999999999" customHeight="1" thickBot="1">
      <c r="A20" s="164" t="s">
        <v>452</v>
      </c>
      <c r="B20" s="821">
        <v>0</v>
      </c>
      <c r="C20" s="715"/>
      <c r="D20" s="715"/>
      <c r="E20" s="715"/>
      <c r="F20" s="715"/>
      <c r="G20" s="668">
        <f>B20</f>
        <v>0</v>
      </c>
      <c r="H20" s="707">
        <f>G20*3</f>
        <v>0</v>
      </c>
    </row>
    <row r="21" spans="1:11" s="50" customFormat="1" ht="19.899999999999999" customHeight="1" thickBot="1">
      <c r="A21" s="669"/>
      <c r="B21" s="700"/>
      <c r="C21" s="666"/>
      <c r="D21" s="666"/>
      <c r="E21" s="666"/>
      <c r="F21" s="666"/>
      <c r="G21" s="710"/>
      <c r="H21" s="667"/>
    </row>
    <row r="22" spans="1:11" s="50" customFormat="1" ht="19.899999999999999" customHeight="1">
      <c r="A22" s="164" t="s">
        <v>388</v>
      </c>
      <c r="B22" s="822">
        <v>0</v>
      </c>
      <c r="C22" s="713"/>
      <c r="D22" s="713"/>
      <c r="E22" s="713"/>
      <c r="F22" s="713"/>
      <c r="G22" s="670">
        <f>B22</f>
        <v>0</v>
      </c>
      <c r="H22" s="708">
        <f>G22*2</f>
        <v>0</v>
      </c>
    </row>
    <row r="23" spans="1:11" s="50" customFormat="1" ht="19.899999999999999" customHeight="1" thickBot="1">
      <c r="A23" s="164" t="s">
        <v>453</v>
      </c>
      <c r="B23" s="823">
        <v>0</v>
      </c>
      <c r="C23" s="715"/>
      <c r="D23" s="715"/>
      <c r="E23" s="715"/>
      <c r="F23" s="715"/>
      <c r="G23" s="671">
        <f>B23</f>
        <v>0</v>
      </c>
      <c r="H23" s="702">
        <f>G23*2</f>
        <v>0</v>
      </c>
      <c r="J23" s="672"/>
      <c r="K23" s="672"/>
    </row>
    <row r="24" spans="1:11" s="50" customFormat="1" ht="25.15" customHeight="1">
      <c r="B24" s="672"/>
      <c r="C24" s="673"/>
      <c r="D24" s="673"/>
      <c r="E24" s="673"/>
      <c r="F24" s="673"/>
      <c r="G24" s="672"/>
      <c r="H24" s="672"/>
      <c r="I24" s="672"/>
      <c r="J24" s="672"/>
      <c r="K24" s="672"/>
    </row>
    <row r="25" spans="1:11" s="50" customFormat="1" ht="13.5" customHeight="1">
      <c r="A25" s="164"/>
      <c r="B25" s="672"/>
      <c r="C25" s="672"/>
      <c r="D25" s="672"/>
      <c r="E25" s="672"/>
      <c r="F25" s="672"/>
      <c r="G25" s="672"/>
      <c r="H25" s="672"/>
      <c r="I25" s="672"/>
      <c r="J25" s="672"/>
      <c r="K25" s="672"/>
    </row>
    <row r="26" spans="1:11" s="50" customFormat="1" ht="19.899999999999999" customHeight="1">
      <c r="B26" s="1075" t="s">
        <v>586</v>
      </c>
      <c r="C26" s="1075"/>
      <c r="D26" s="1075"/>
      <c r="E26" s="1075"/>
      <c r="F26" s="672"/>
      <c r="G26" s="672"/>
      <c r="H26" s="672"/>
      <c r="I26" s="672"/>
      <c r="J26" s="672"/>
      <c r="K26" s="672"/>
    </row>
    <row r="27" spans="1:11" s="50" customFormat="1" ht="19.899999999999999" customHeight="1" thickBot="1">
      <c r="A27" s="662"/>
      <c r="B27" s="1075" t="s">
        <v>537</v>
      </c>
      <c r="C27" s="1075"/>
      <c r="D27" s="1075"/>
      <c r="E27" s="1075"/>
      <c r="F27" s="672"/>
      <c r="G27" s="672"/>
      <c r="H27" s="672"/>
      <c r="I27" s="672"/>
    </row>
    <row r="28" spans="1:11" s="50" customFormat="1" ht="108" customHeight="1" thickBot="1">
      <c r="A28" s="661" t="s">
        <v>256</v>
      </c>
      <c r="B28" s="674" t="s">
        <v>7</v>
      </c>
      <c r="C28" s="586" t="s">
        <v>376</v>
      </c>
      <c r="D28" s="586" t="s">
        <v>377</v>
      </c>
      <c r="E28" s="586" t="s">
        <v>455</v>
      </c>
      <c r="F28" s="586" t="s">
        <v>385</v>
      </c>
      <c r="G28" s="1112" t="s">
        <v>386</v>
      </c>
      <c r="H28" s="586" t="s">
        <v>2</v>
      </c>
      <c r="I28" s="1113" t="s">
        <v>609</v>
      </c>
      <c r="J28" s="164"/>
      <c r="K28" s="164"/>
    </row>
    <row r="29" spans="1:11" s="50" customFormat="1" ht="19.899999999999999" customHeight="1">
      <c r="A29" s="662" t="str">
        <f t="shared" ref="A29:B31" si="0">A14</f>
        <v>UPPER LEVEL - BACCALAUREATE</v>
      </c>
      <c r="B29" s="675">
        <f t="shared" si="0"/>
        <v>91.79</v>
      </c>
      <c r="C29" s="824">
        <v>357</v>
      </c>
      <c r="D29" s="824">
        <v>22.44</v>
      </c>
      <c r="E29" s="698">
        <f>D14</f>
        <v>9.18</v>
      </c>
      <c r="F29" s="824">
        <v>89.75</v>
      </c>
      <c r="G29" s="824">
        <v>22.44</v>
      </c>
      <c r="H29" s="676">
        <f>SUM(B29:G29)</f>
        <v>592.60000000000014</v>
      </c>
      <c r="I29" s="701">
        <f>H29*30</f>
        <v>17778.000000000004</v>
      </c>
      <c r="J29" s="33"/>
    </row>
    <row r="30" spans="1:11" s="50" customFormat="1" ht="19.899999999999999" customHeight="1">
      <c r="A30" s="164" t="str">
        <f t="shared" si="0"/>
        <v>LOWER LEVEL - CREDIT (A &amp; P, PSV, DEVELOPMENTAL EDUCATION AND EPI)</v>
      </c>
      <c r="B30" s="785">
        <f t="shared" si="0"/>
        <v>82.78</v>
      </c>
      <c r="C30" s="824">
        <v>248.33</v>
      </c>
      <c r="D30" s="824">
        <v>16.559999999999999</v>
      </c>
      <c r="E30" s="677">
        <f>D15</f>
        <v>8.2799999999999994</v>
      </c>
      <c r="F30" s="824">
        <v>66.22</v>
      </c>
      <c r="G30" s="824">
        <v>16.559999999999999</v>
      </c>
      <c r="H30" s="663">
        <f>SUM(B30:G30)</f>
        <v>438.72999999999996</v>
      </c>
      <c r="I30" s="664">
        <f>H30*30</f>
        <v>13161.9</v>
      </c>
    </row>
    <row r="31" spans="1:11" s="50" customFormat="1" ht="19.899999999999999" customHeight="1" thickBot="1">
      <c r="A31" s="164" t="str">
        <f t="shared" si="0"/>
        <v>CAREER CERTIFICATE AND APPLIED TECHNOLOGY DIPLOMA</v>
      </c>
      <c r="B31" s="784">
        <f t="shared" si="0"/>
        <v>73.400000000000006</v>
      </c>
      <c r="C31" s="824">
        <v>220.19</v>
      </c>
      <c r="D31" s="824">
        <v>29.36</v>
      </c>
      <c r="E31" s="628"/>
      <c r="F31" s="824">
        <v>14.68</v>
      </c>
      <c r="G31" s="824">
        <v>14.68</v>
      </c>
      <c r="H31" s="665">
        <f>SUM(B31:G31)</f>
        <v>352.31000000000006</v>
      </c>
      <c r="I31" s="702">
        <f>H31*30</f>
        <v>10569.300000000001</v>
      </c>
    </row>
    <row r="32" spans="1:11" s="50" customFormat="1" ht="19.899999999999999" customHeight="1" thickBot="1">
      <c r="A32" s="669"/>
      <c r="B32" s="666"/>
      <c r="C32" s="666"/>
      <c r="D32" s="666"/>
      <c r="E32" s="666"/>
      <c r="F32" s="666"/>
      <c r="G32" s="666"/>
      <c r="H32" s="666"/>
      <c r="I32" s="678"/>
    </row>
    <row r="33" spans="1:11" s="50" customFormat="1" ht="64.900000000000006" customHeight="1" thickBot="1">
      <c r="A33" s="679" t="s">
        <v>256</v>
      </c>
      <c r="B33" s="680" t="s">
        <v>504</v>
      </c>
      <c r="C33" s="716"/>
      <c r="D33" s="716"/>
      <c r="E33" s="716"/>
      <c r="F33" s="716"/>
      <c r="G33" s="716"/>
      <c r="H33" s="586" t="s">
        <v>2</v>
      </c>
      <c r="I33" s="1113" t="s">
        <v>610</v>
      </c>
      <c r="J33" s="33"/>
      <c r="K33" s="33"/>
    </row>
    <row r="34" spans="1:11" s="50" customFormat="1" ht="19.899999999999999" customHeight="1">
      <c r="A34" s="48" t="str">
        <f>A19</f>
        <v>VOCATIONAL PREPARATORY (PER TERM)</v>
      </c>
      <c r="B34" s="681">
        <f>B19</f>
        <v>0</v>
      </c>
      <c r="C34" s="714"/>
      <c r="D34" s="714"/>
      <c r="E34" s="714"/>
      <c r="F34" s="714"/>
      <c r="G34" s="714"/>
      <c r="H34" s="682">
        <f>B34</f>
        <v>0</v>
      </c>
      <c r="I34" s="703">
        <f>H34*3</f>
        <v>0</v>
      </c>
      <c r="J34" s="683"/>
      <c r="K34" s="683"/>
    </row>
    <row r="35" spans="1:11" s="50" customFormat="1" ht="19.899999999999999" customHeight="1" thickBot="1">
      <c r="A35" s="48" t="str">
        <f>A20</f>
        <v>ADULT GENERAL EDUCATION AND SECONDARY (PER TERM)</v>
      </c>
      <c r="B35" s="684">
        <f>B20</f>
        <v>0</v>
      </c>
      <c r="C35" s="715"/>
      <c r="D35" s="715"/>
      <c r="E35" s="715"/>
      <c r="F35" s="715"/>
      <c r="G35" s="715"/>
      <c r="H35" s="685">
        <f>B35</f>
        <v>0</v>
      </c>
      <c r="I35" s="704">
        <f>H35*3</f>
        <v>0</v>
      </c>
      <c r="J35" s="33"/>
      <c r="K35" s="33"/>
    </row>
    <row r="36" spans="1:11" s="50" customFormat="1" ht="19.899999999999999" customHeight="1" thickBot="1">
      <c r="A36" s="669"/>
      <c r="B36" s="841"/>
      <c r="C36" s="666"/>
      <c r="D36" s="666"/>
      <c r="E36" s="666"/>
      <c r="F36" s="666"/>
      <c r="G36" s="666"/>
      <c r="H36" s="841"/>
      <c r="I36" s="842"/>
      <c r="J36" s="33"/>
      <c r="K36" s="33"/>
    </row>
    <row r="37" spans="1:11" s="50" customFormat="1" ht="19.899999999999999" customHeight="1">
      <c r="A37" s="48" t="str">
        <f>A22</f>
        <v>VOCATIONAL PREPARATORY (PER HALF YEAR)</v>
      </c>
      <c r="B37" s="681">
        <f>B22</f>
        <v>0</v>
      </c>
      <c r="C37" s="713"/>
      <c r="D37" s="713"/>
      <c r="E37" s="713"/>
      <c r="F37" s="713"/>
      <c r="G37" s="713"/>
      <c r="H37" s="676">
        <f>B37</f>
        <v>0</v>
      </c>
      <c r="I37" s="701">
        <f>H37*2</f>
        <v>0</v>
      </c>
      <c r="J37" s="33"/>
      <c r="K37" s="33"/>
    </row>
    <row r="38" spans="1:11" s="50" customFormat="1" ht="19.899999999999999" customHeight="1" thickBot="1">
      <c r="A38" s="48" t="str">
        <f>A23</f>
        <v>ADULT GENERAL EDUCATION AND SECONDARY (PER HALF YEAR)</v>
      </c>
      <c r="B38" s="684">
        <f>B23</f>
        <v>0</v>
      </c>
      <c r="C38" s="715"/>
      <c r="D38" s="715"/>
      <c r="E38" s="715"/>
      <c r="F38" s="715"/>
      <c r="G38" s="715"/>
      <c r="H38" s="686">
        <f>B38</f>
        <v>0</v>
      </c>
      <c r="I38" s="705">
        <f>H38*2</f>
        <v>0</v>
      </c>
      <c r="J38" s="33"/>
      <c r="K38" s="33"/>
    </row>
    <row r="39" spans="1:11" s="50" customFormat="1" ht="19.899999999999999" customHeight="1">
      <c r="A39" s="48"/>
      <c r="B39" s="687" t="s">
        <v>268</v>
      </c>
      <c r="C39" s="33"/>
      <c r="D39" s="33"/>
      <c r="E39" s="33"/>
      <c r="F39" s="33"/>
      <c r="G39" s="33"/>
      <c r="H39" s="33"/>
      <c r="I39" s="33"/>
      <c r="J39" s="33"/>
      <c r="K39" s="33"/>
    </row>
    <row r="40" spans="1:11" ht="35.450000000000003" customHeight="1">
      <c r="A40" s="317"/>
      <c r="B40" s="1227" t="s">
        <v>784</v>
      </c>
      <c r="C40" s="1227"/>
      <c r="D40" s="1227"/>
      <c r="E40" s="1227"/>
      <c r="F40" s="1227"/>
      <c r="G40" s="1227"/>
      <c r="H40" s="1227"/>
      <c r="I40" s="1227"/>
      <c r="J40" s="311"/>
    </row>
    <row r="41" spans="1:11" ht="20.25" customHeight="1">
      <c r="A41" s="313"/>
      <c r="B41" s="1228"/>
      <c r="C41" s="1228"/>
      <c r="D41" s="1228"/>
      <c r="E41" s="1228"/>
      <c r="F41" s="1228"/>
      <c r="G41" s="1228"/>
      <c r="H41" s="1228"/>
      <c r="I41" s="1228"/>
    </row>
    <row r="42" spans="1:11" ht="20.25" customHeight="1">
      <c r="A42" s="313"/>
      <c r="B42" s="313"/>
      <c r="C42" s="313"/>
      <c r="D42" s="313"/>
      <c r="E42" s="313"/>
      <c r="F42" s="313"/>
      <c r="G42" s="313"/>
      <c r="H42" s="313"/>
      <c r="I42" s="313"/>
    </row>
    <row r="43" spans="1:11" ht="20.25" customHeight="1">
      <c r="A43" s="313"/>
      <c r="B43" s="313"/>
      <c r="C43" s="313"/>
      <c r="D43" s="313"/>
      <c r="E43" s="313"/>
      <c r="F43" s="313"/>
      <c r="G43" s="313"/>
      <c r="H43" s="313"/>
      <c r="I43" s="313"/>
    </row>
    <row r="44" spans="1:11" ht="20.25" customHeight="1">
      <c r="A44" s="313"/>
      <c r="B44" s="313"/>
      <c r="C44" s="313"/>
      <c r="D44" s="313"/>
      <c r="E44" s="313"/>
      <c r="F44" s="313"/>
      <c r="G44" s="313"/>
      <c r="H44" s="313"/>
      <c r="I44" s="313"/>
    </row>
    <row r="45" spans="1:11" ht="20.25" customHeight="1">
      <c r="A45" s="313"/>
      <c r="B45" s="313"/>
      <c r="C45" s="313"/>
      <c r="D45" s="313"/>
      <c r="E45" s="313"/>
      <c r="F45" s="313"/>
      <c r="G45" s="313"/>
      <c r="H45" s="313"/>
      <c r="I45" s="313"/>
    </row>
    <row r="46" spans="1:11" ht="20.25" customHeight="1">
      <c r="A46" s="313"/>
      <c r="B46" s="313"/>
      <c r="C46" s="313"/>
      <c r="D46" s="313"/>
      <c r="E46" s="313"/>
      <c r="F46" s="313"/>
      <c r="G46" s="313"/>
      <c r="H46" s="313"/>
      <c r="I46" s="313"/>
    </row>
    <row r="47" spans="1:11" ht="20.25" customHeight="1">
      <c r="A47" s="313"/>
      <c r="B47" s="313"/>
      <c r="C47" s="313"/>
      <c r="D47" s="313"/>
      <c r="E47" s="313"/>
      <c r="F47" s="313"/>
      <c r="G47" s="313"/>
      <c r="H47" s="313"/>
      <c r="I47" s="313"/>
    </row>
    <row r="48" spans="1:11" ht="20.25" customHeight="1">
      <c r="A48" s="313"/>
      <c r="B48" s="313"/>
      <c r="C48" s="313"/>
      <c r="D48" s="313"/>
      <c r="E48" s="313"/>
      <c r="F48" s="313"/>
      <c r="G48" s="313"/>
      <c r="H48" s="313"/>
      <c r="I48" s="313"/>
    </row>
    <row r="49" spans="1:9" ht="20.25" customHeight="1">
      <c r="A49" s="313"/>
      <c r="B49" s="313"/>
      <c r="C49" s="313"/>
      <c r="D49" s="313"/>
      <c r="E49" s="313"/>
      <c r="F49" s="313"/>
      <c r="G49" s="313"/>
      <c r="H49" s="313"/>
      <c r="I49" s="313"/>
    </row>
    <row r="50" spans="1:9" ht="20.25" customHeight="1">
      <c r="A50" s="313"/>
      <c r="B50" s="313"/>
      <c r="C50" s="313"/>
      <c r="D50" s="313"/>
      <c r="E50" s="313"/>
      <c r="F50" s="313"/>
      <c r="G50" s="313"/>
      <c r="H50" s="313"/>
      <c r="I50" s="313"/>
    </row>
    <row r="51" spans="1:9" ht="20.25" customHeight="1">
      <c r="A51" s="313"/>
      <c r="B51" s="313"/>
      <c r="C51" s="313"/>
      <c r="D51" s="313"/>
      <c r="E51" s="313"/>
      <c r="F51" s="313"/>
      <c r="G51" s="313"/>
      <c r="H51" s="313"/>
      <c r="I51" s="313"/>
    </row>
    <row r="52" spans="1:9" ht="20.25" customHeight="1">
      <c r="A52" s="313"/>
      <c r="B52" s="313"/>
      <c r="C52" s="313"/>
      <c r="D52" s="313"/>
      <c r="E52" s="313"/>
      <c r="F52" s="313"/>
      <c r="G52" s="313"/>
      <c r="H52" s="313"/>
      <c r="I52" s="313"/>
    </row>
    <row r="53" spans="1:9" ht="20.25" customHeight="1">
      <c r="B53" s="313"/>
      <c r="C53" s="313"/>
      <c r="D53" s="313"/>
      <c r="E53" s="313"/>
      <c r="F53" s="313"/>
      <c r="G53" s="313"/>
      <c r="H53" s="313"/>
      <c r="I53" s="313"/>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uMJvN0M1wHHbVyeLD9p2RfDB9mxAr4imShOPqB9pIOm299p/n2mS2ka0j1KsEAIOA1ftTEDL+EvPfYCcaCvT8g==" saltValue="NvfLCELRQNz+vB0Ucn9BB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E63" sqref="E63"/>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2" t="s">
        <v>23</v>
      </c>
    </row>
    <row r="2" spans="1:10" ht="19.899999999999999" customHeight="1">
      <c r="A2" s="1230" t="s">
        <v>259</v>
      </c>
      <c r="B2" s="1230"/>
      <c r="C2" s="1230"/>
      <c r="D2" s="1230"/>
      <c r="E2" s="1230"/>
      <c r="F2" s="1230"/>
      <c r="G2" s="1110"/>
      <c r="H2" s="1110"/>
      <c r="I2" s="316"/>
    </row>
    <row r="3" spans="1:10" ht="19.899999999999999" customHeight="1">
      <c r="A3" s="1230" t="s">
        <v>782</v>
      </c>
      <c r="B3" s="1230"/>
      <c r="C3" s="1230"/>
      <c r="D3" s="1230"/>
      <c r="E3" s="1230"/>
      <c r="F3" s="1230"/>
      <c r="G3" s="1110"/>
      <c r="H3" s="1110"/>
    </row>
    <row r="4" spans="1:10" ht="19.899999999999999" customHeight="1">
      <c r="A4" s="649"/>
      <c r="B4" s="649"/>
      <c r="C4" s="649"/>
      <c r="D4" s="649"/>
      <c r="E4" s="649"/>
      <c r="F4" s="649"/>
      <c r="G4" s="645"/>
      <c r="H4" s="547"/>
    </row>
    <row r="5" spans="1:10" ht="27.6" customHeight="1" thickBot="1">
      <c r="A5" s="648" t="s">
        <v>233</v>
      </c>
      <c r="B5" s="1111" t="str">
        <f>'CHECK SHEET'!D7</f>
        <v>Florida Keys Community College</v>
      </c>
      <c r="C5" s="1111"/>
      <c r="D5" s="1111"/>
      <c r="E5" s="1111"/>
      <c r="F5" s="1111"/>
      <c r="G5" s="1229"/>
      <c r="H5" s="1229"/>
    </row>
    <row r="6" spans="1:10" ht="19.899999999999999" customHeight="1">
      <c r="A6" s="645"/>
      <c r="B6" s="645"/>
      <c r="C6" s="645"/>
      <c r="D6" s="645"/>
      <c r="E6" s="645"/>
      <c r="F6" s="645"/>
      <c r="G6" s="1229"/>
      <c r="H6" s="1229"/>
    </row>
    <row r="7" spans="1:10" ht="19.899999999999999" customHeight="1">
      <c r="A7" s="1107" t="s">
        <v>671</v>
      </c>
      <c r="B7" s="1107"/>
      <c r="C7" s="1107"/>
      <c r="D7" s="1107"/>
      <c r="E7" s="1107"/>
      <c r="F7" s="1107"/>
      <c r="G7" s="1107"/>
      <c r="H7" s="1107"/>
    </row>
    <row r="8" spans="1:10" ht="19.899999999999999" customHeight="1" thickBot="1">
      <c r="C8" s="48"/>
    </row>
    <row r="9" spans="1:10" ht="85.5" customHeight="1" thickBot="1">
      <c r="A9" s="548" t="s">
        <v>539</v>
      </c>
      <c r="B9" s="548" t="s">
        <v>25</v>
      </c>
      <c r="C9" s="562" t="s">
        <v>560</v>
      </c>
      <c r="D9" s="562" t="s">
        <v>561</v>
      </c>
      <c r="E9" s="562" t="s">
        <v>676</v>
      </c>
      <c r="F9" s="562" t="s">
        <v>528</v>
      </c>
      <c r="G9" s="562" t="s">
        <v>562</v>
      </c>
      <c r="H9" s="563" t="s">
        <v>563</v>
      </c>
      <c r="I9" s="632"/>
      <c r="J9" s="212"/>
    </row>
    <row r="10" spans="1:10" ht="19.899999999999999" customHeight="1">
      <c r="A10" s="564" t="s">
        <v>7</v>
      </c>
      <c r="B10" s="565" t="s">
        <v>436</v>
      </c>
      <c r="C10" s="566">
        <v>40101</v>
      </c>
      <c r="D10" s="825">
        <f>33.9*30</f>
        <v>1017</v>
      </c>
      <c r="E10" s="826">
        <f>1.9*30</f>
        <v>57</v>
      </c>
      <c r="F10" s="567">
        <f t="shared" ref="F10:F15" si="0">+D10-E10</f>
        <v>960</v>
      </c>
      <c r="G10" s="567">
        <f>'EXHIBIT B'!B14</f>
        <v>91.79</v>
      </c>
      <c r="H10" s="568">
        <f>ROUND(+F10*G10,0)</f>
        <v>88118</v>
      </c>
      <c r="I10" s="212"/>
      <c r="J10" s="212"/>
    </row>
    <row r="11" spans="1:10" ht="19.899999999999999" customHeight="1">
      <c r="A11" s="569" t="s">
        <v>7</v>
      </c>
      <c r="B11" s="569" t="s">
        <v>338</v>
      </c>
      <c r="C11" s="570" t="s">
        <v>26</v>
      </c>
      <c r="D11" s="825">
        <f>415*30</f>
        <v>12450</v>
      </c>
      <c r="E11" s="825">
        <f>(3+49+2)*30</f>
        <v>1620</v>
      </c>
      <c r="F11" s="571">
        <f t="shared" si="0"/>
        <v>10830</v>
      </c>
      <c r="G11" s="571">
        <f>+'EXHIBIT B'!B15</f>
        <v>82.78</v>
      </c>
      <c r="H11" s="572">
        <f t="shared" ref="H11:H15" si="1">ROUND(+F11*G11,0)</f>
        <v>896507</v>
      </c>
      <c r="I11" s="212"/>
      <c r="J11" s="212"/>
    </row>
    <row r="12" spans="1:10" ht="19.899999999999999" customHeight="1">
      <c r="A12" s="569" t="s">
        <v>7</v>
      </c>
      <c r="B12" s="569" t="s">
        <v>27</v>
      </c>
      <c r="C12" s="570" t="s">
        <v>28</v>
      </c>
      <c r="D12" s="827">
        <f>205*30</f>
        <v>6150</v>
      </c>
      <c r="E12" s="827">
        <f>(8.76)*30</f>
        <v>262.8</v>
      </c>
      <c r="F12" s="571">
        <f t="shared" si="0"/>
        <v>5887.2</v>
      </c>
      <c r="G12" s="571">
        <f>+'EXHIBIT B'!B15</f>
        <v>82.78</v>
      </c>
      <c r="H12" s="572">
        <f t="shared" si="1"/>
        <v>487342</v>
      </c>
      <c r="I12" s="212"/>
      <c r="J12" s="212"/>
    </row>
    <row r="13" spans="1:10" ht="19.899999999999999" customHeight="1">
      <c r="A13" s="569" t="s">
        <v>7</v>
      </c>
      <c r="B13" s="569" t="s">
        <v>527</v>
      </c>
      <c r="C13" s="570" t="s">
        <v>29</v>
      </c>
      <c r="D13" s="828">
        <f>81.7*30</f>
        <v>2451</v>
      </c>
      <c r="E13" s="828">
        <f>0.6*30</f>
        <v>18</v>
      </c>
      <c r="F13" s="571">
        <f t="shared" si="0"/>
        <v>2433</v>
      </c>
      <c r="G13" s="571">
        <f>+'EXHIBIT B'!B16</f>
        <v>73.400000000000006</v>
      </c>
      <c r="H13" s="572">
        <f t="shared" si="1"/>
        <v>178582</v>
      </c>
      <c r="I13" s="212"/>
      <c r="J13" s="212"/>
    </row>
    <row r="14" spans="1:10" ht="19.899999999999999" customHeight="1">
      <c r="A14" s="569" t="s">
        <v>7</v>
      </c>
      <c r="B14" s="569" t="s">
        <v>462</v>
      </c>
      <c r="C14" s="570" t="s">
        <v>30</v>
      </c>
      <c r="D14" s="825">
        <f>16.8*30</f>
        <v>504</v>
      </c>
      <c r="E14" s="825">
        <f>0.5*30</f>
        <v>15</v>
      </c>
      <c r="F14" s="571">
        <f t="shared" si="0"/>
        <v>489</v>
      </c>
      <c r="G14" s="571">
        <f>+'EXHIBIT B'!B15</f>
        <v>82.78</v>
      </c>
      <c r="H14" s="572">
        <f t="shared" si="1"/>
        <v>40479</v>
      </c>
      <c r="I14" s="212"/>
      <c r="J14" s="212"/>
    </row>
    <row r="15" spans="1:10" ht="19.899999999999999" customHeight="1" thickBot="1">
      <c r="A15" s="573" t="s">
        <v>7</v>
      </c>
      <c r="B15" s="573" t="s">
        <v>246</v>
      </c>
      <c r="C15" s="574">
        <v>40160</v>
      </c>
      <c r="D15" s="829">
        <v>0</v>
      </c>
      <c r="E15" s="829">
        <v>0</v>
      </c>
      <c r="F15" s="575">
        <f t="shared" si="0"/>
        <v>0</v>
      </c>
      <c r="G15" s="575">
        <f>+'EXHIBIT B'!B15</f>
        <v>82.78</v>
      </c>
      <c r="H15" s="576">
        <f t="shared" si="1"/>
        <v>0</v>
      </c>
      <c r="I15" s="212"/>
      <c r="J15" s="212"/>
    </row>
    <row r="16" spans="1:10" ht="24.95" customHeight="1" thickBot="1">
      <c r="A16" s="577"/>
      <c r="B16" s="577"/>
      <c r="C16" s="577"/>
      <c r="D16" s="578"/>
      <c r="E16" s="578"/>
      <c r="F16" s="579"/>
      <c r="G16" s="579"/>
      <c r="H16" s="580"/>
      <c r="I16" s="212"/>
      <c r="J16" s="212"/>
    </row>
    <row r="17" spans="1:10" ht="24.95" customHeight="1" thickBot="1">
      <c r="A17" s="581"/>
      <c r="B17" s="582" t="s">
        <v>260</v>
      </c>
      <c r="C17" s="582"/>
      <c r="D17" s="583">
        <f>SUM(D10:D15)</f>
        <v>22572</v>
      </c>
      <c r="E17" s="583">
        <f>SUM(E10:E15)</f>
        <v>1972.8</v>
      </c>
      <c r="F17" s="584">
        <f>SUM(F10:F15)</f>
        <v>20599.2</v>
      </c>
      <c r="G17" s="584"/>
      <c r="H17" s="585">
        <f>SUM(H10:H15)</f>
        <v>1691028</v>
      </c>
      <c r="I17" s="212"/>
      <c r="J17" s="212"/>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0">
        <v>0</v>
      </c>
      <c r="E19" s="589">
        <f>'EXHIBIT B'!C29</f>
        <v>357</v>
      </c>
      <c r="F19" s="590">
        <f t="shared" ref="F19:F24" si="2">ROUND(+D19*E19,0)</f>
        <v>0</v>
      </c>
      <c r="G19" s="591"/>
      <c r="H19" s="591"/>
    </row>
    <row r="20" spans="1:10" ht="19.899999999999999" customHeight="1">
      <c r="A20" s="592" t="s">
        <v>376</v>
      </c>
      <c r="B20" s="592" t="s">
        <v>338</v>
      </c>
      <c r="C20" s="593" t="s">
        <v>34</v>
      </c>
      <c r="D20" s="831">
        <v>1047</v>
      </c>
      <c r="E20" s="594">
        <f>+'EXHIBIT B'!C30</f>
        <v>248.33</v>
      </c>
      <c r="F20" s="595">
        <f t="shared" si="2"/>
        <v>260002</v>
      </c>
      <c r="G20" s="596"/>
      <c r="H20" s="596"/>
    </row>
    <row r="21" spans="1:10" ht="19.899999999999999" customHeight="1">
      <c r="A21" s="592" t="s">
        <v>376</v>
      </c>
      <c r="B21" s="592" t="s">
        <v>27</v>
      </c>
      <c r="C21" s="593" t="s">
        <v>35</v>
      </c>
      <c r="D21" s="831">
        <v>775</v>
      </c>
      <c r="E21" s="594">
        <f>+'EXHIBIT B'!C30</f>
        <v>248.33</v>
      </c>
      <c r="F21" s="595">
        <f t="shared" si="2"/>
        <v>192456</v>
      </c>
      <c r="G21" s="596"/>
      <c r="H21" s="596"/>
    </row>
    <row r="22" spans="1:10" ht="19.899999999999999" customHeight="1">
      <c r="A22" s="592" t="s">
        <v>376</v>
      </c>
      <c r="B22" s="592" t="s">
        <v>527</v>
      </c>
      <c r="C22" s="593" t="s">
        <v>36</v>
      </c>
      <c r="D22" s="831">
        <v>122</v>
      </c>
      <c r="E22" s="594">
        <f>+'EXHIBIT B'!C31</f>
        <v>220.19</v>
      </c>
      <c r="F22" s="595">
        <f t="shared" si="2"/>
        <v>26863</v>
      </c>
      <c r="G22" s="596"/>
      <c r="H22" s="596"/>
    </row>
    <row r="23" spans="1:10" ht="19.899999999999999" customHeight="1">
      <c r="A23" s="592" t="s">
        <v>376</v>
      </c>
      <c r="B23" s="592" t="s">
        <v>462</v>
      </c>
      <c r="C23" s="593" t="s">
        <v>37</v>
      </c>
      <c r="D23" s="831">
        <v>59</v>
      </c>
      <c r="E23" s="594">
        <f>+'EXHIBIT B'!C30</f>
        <v>248.33</v>
      </c>
      <c r="F23" s="595">
        <f t="shared" si="2"/>
        <v>14651</v>
      </c>
      <c r="G23" s="596"/>
      <c r="H23" s="596"/>
    </row>
    <row r="24" spans="1:10" ht="19.899999999999999" customHeight="1" thickBot="1">
      <c r="A24" s="597" t="s">
        <v>376</v>
      </c>
      <c r="B24" s="597" t="s">
        <v>246</v>
      </c>
      <c r="C24" s="598">
        <v>40360</v>
      </c>
      <c r="D24" s="832">
        <v>0</v>
      </c>
      <c r="E24" s="599">
        <f>+'EXHIBIT B'!C30</f>
        <v>248.33</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2003</v>
      </c>
      <c r="E26" s="606"/>
      <c r="F26" s="607">
        <f>SUM(F19:F24)</f>
        <v>493972</v>
      </c>
      <c r="G26" s="608"/>
      <c r="H26" s="608"/>
    </row>
    <row r="27" spans="1:10" ht="19.899999999999999" customHeight="1" thickBot="1">
      <c r="A27" s="609" t="s">
        <v>565</v>
      </c>
      <c r="B27" s="609"/>
      <c r="C27" s="609"/>
      <c r="D27" s="609"/>
      <c r="E27" s="609"/>
      <c r="F27" s="610"/>
      <c r="G27" s="611"/>
      <c r="H27" s="612">
        <f>H17+F26</f>
        <v>2185000</v>
      </c>
    </row>
    <row r="28" spans="1:10" ht="24.95" customHeight="1">
      <c r="I28" s="301"/>
    </row>
    <row r="29" spans="1:10" ht="24.95" customHeight="1">
      <c r="A29" s="1107" t="s">
        <v>672</v>
      </c>
      <c r="B29" s="1107"/>
      <c r="C29" s="1107"/>
      <c r="D29" s="1107"/>
      <c r="E29" s="1107"/>
      <c r="F29" s="1107"/>
      <c r="G29" s="1107"/>
      <c r="H29" s="1107"/>
      <c r="I29" s="301"/>
    </row>
    <row r="30" spans="1:10" ht="24.95" customHeight="1" thickBot="1">
      <c r="A30" s="29"/>
      <c r="B30" s="29"/>
      <c r="C30" s="29"/>
      <c r="D30" s="29"/>
      <c r="E30" s="29"/>
      <c r="F30" s="29"/>
      <c r="G30" s="29"/>
      <c r="H30" s="29"/>
      <c r="I30" s="301"/>
    </row>
    <row r="31" spans="1:10" ht="88.15" customHeight="1" thickBot="1">
      <c r="A31" s="586" t="s">
        <v>541</v>
      </c>
      <c r="B31" s="613" t="s">
        <v>25</v>
      </c>
      <c r="C31" s="586" t="s">
        <v>560</v>
      </c>
      <c r="D31" s="586" t="s">
        <v>566</v>
      </c>
      <c r="E31" s="586" t="s">
        <v>389</v>
      </c>
      <c r="F31" s="586" t="s">
        <v>528</v>
      </c>
      <c r="G31" s="586" t="s">
        <v>567</v>
      </c>
      <c r="H31" s="1113" t="s">
        <v>563</v>
      </c>
      <c r="I31" s="301"/>
    </row>
    <row r="32" spans="1:10" ht="19.899999999999999" customHeight="1">
      <c r="A32" s="614" t="s">
        <v>381</v>
      </c>
      <c r="B32" s="614" t="s">
        <v>31</v>
      </c>
      <c r="C32" s="615" t="s">
        <v>32</v>
      </c>
      <c r="D32" s="833">
        <v>0</v>
      </c>
      <c r="E32" s="833">
        <v>0</v>
      </c>
      <c r="F32" s="616">
        <f>D32-E32</f>
        <v>0</v>
      </c>
      <c r="G32" s="616">
        <f>'EXHIBIT B'!B19</f>
        <v>0</v>
      </c>
      <c r="H32" s="617">
        <f>ROUND(+F32*G32,0)</f>
        <v>0</v>
      </c>
    </row>
    <row r="33" spans="1:12" ht="19.899999999999999" customHeight="1">
      <c r="A33" s="592" t="s">
        <v>381</v>
      </c>
      <c r="B33" s="592" t="s">
        <v>454</v>
      </c>
      <c r="C33" s="593" t="s">
        <v>33</v>
      </c>
      <c r="D33" s="834">
        <v>0</v>
      </c>
      <c r="E33" s="834">
        <v>0</v>
      </c>
      <c r="F33" s="594">
        <f>D33-E33</f>
        <v>0</v>
      </c>
      <c r="G33" s="594">
        <f>'EXHIBIT B'!B20</f>
        <v>0</v>
      </c>
      <c r="H33" s="595">
        <f>ROUND(+F33*G33,0)</f>
        <v>0</v>
      </c>
    </row>
    <row r="34" spans="1:12" ht="19.899999999999999" customHeight="1">
      <c r="A34" s="592" t="s">
        <v>382</v>
      </c>
      <c r="B34" s="592" t="s">
        <v>31</v>
      </c>
      <c r="C34" s="593">
        <v>40180</v>
      </c>
      <c r="D34" s="834">
        <v>0</v>
      </c>
      <c r="E34" s="834">
        <v>0</v>
      </c>
      <c r="F34" s="594">
        <f>D34-E34</f>
        <v>0</v>
      </c>
      <c r="G34" s="594">
        <f>'EXHIBIT B'!B22</f>
        <v>0</v>
      </c>
      <c r="H34" s="595">
        <f>ROUND(+F34*G34,0)</f>
        <v>0</v>
      </c>
    </row>
    <row r="35" spans="1:12" ht="19.899999999999999" customHeight="1" thickBot="1">
      <c r="A35" s="618" t="s">
        <v>382</v>
      </c>
      <c r="B35" s="618" t="s">
        <v>454</v>
      </c>
      <c r="C35" s="619">
        <v>40190</v>
      </c>
      <c r="D35" s="835">
        <v>0</v>
      </c>
      <c r="E35" s="835">
        <v>0</v>
      </c>
      <c r="F35" s="620">
        <f>D35-E35</f>
        <v>0</v>
      </c>
      <c r="G35" s="621">
        <f>'EXHIBIT B'!B23</f>
        <v>0</v>
      </c>
      <c r="H35" s="622">
        <f>ROUND(+F35*G35,0)</f>
        <v>0</v>
      </c>
    </row>
    <row r="36" spans="1:12" ht="19.899999999999999" customHeight="1" thickBot="1">
      <c r="A36" s="623"/>
      <c r="B36" s="556" t="s">
        <v>400</v>
      </c>
      <c r="C36" s="556"/>
      <c r="D36" s="624">
        <f>SUM(D32:D35)</f>
        <v>0</v>
      </c>
      <c r="E36" s="624">
        <f>SUM(E32:E35)</f>
        <v>0</v>
      </c>
      <c r="F36" s="625">
        <f>D36-E36</f>
        <v>0</v>
      </c>
      <c r="G36" s="625"/>
      <c r="H36" s="626">
        <f>SUM(H32:H35)</f>
        <v>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3">
        <v>0</v>
      </c>
      <c r="E39" s="616">
        <f>'EXHIBIT B'!B34</f>
        <v>0</v>
      </c>
      <c r="F39" s="617">
        <f>D39*E39</f>
        <v>0</v>
      </c>
      <c r="G39" s="212"/>
      <c r="H39" s="212"/>
    </row>
    <row r="40" spans="1:12" ht="19.899999999999999" customHeight="1">
      <c r="A40" s="592" t="s">
        <v>381</v>
      </c>
      <c r="B40" s="592" t="s">
        <v>454</v>
      </c>
      <c r="C40" s="593">
        <v>40390</v>
      </c>
      <c r="D40" s="834">
        <v>0</v>
      </c>
      <c r="E40" s="594">
        <f>'EXHIBIT B'!B35</f>
        <v>0</v>
      </c>
      <c r="F40" s="595">
        <f>D40*E40</f>
        <v>0</v>
      </c>
      <c r="G40" s="35"/>
      <c r="H40" s="35"/>
    </row>
    <row r="41" spans="1:12" ht="19.899999999999999" customHeight="1">
      <c r="A41" s="592" t="s">
        <v>382</v>
      </c>
      <c r="B41" s="592" t="s">
        <v>31</v>
      </c>
      <c r="C41" s="593" t="s">
        <v>38</v>
      </c>
      <c r="D41" s="834">
        <v>0</v>
      </c>
      <c r="E41" s="594">
        <f>'EXHIBIT B'!B37</f>
        <v>0</v>
      </c>
      <c r="F41" s="595">
        <f>D41*E41</f>
        <v>0</v>
      </c>
      <c r="G41" s="35"/>
      <c r="H41" s="35"/>
    </row>
    <row r="42" spans="1:12" ht="19.899999999999999" customHeight="1" thickBot="1">
      <c r="A42" s="633" t="s">
        <v>382</v>
      </c>
      <c r="B42" s="633" t="s">
        <v>454</v>
      </c>
      <c r="C42" s="634" t="s">
        <v>39</v>
      </c>
      <c r="D42" s="836">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2"/>
      <c r="H43" s="212"/>
    </row>
    <row r="44" spans="1:12" ht="19.899999999999999" customHeight="1" thickBot="1">
      <c r="A44" s="640" t="s">
        <v>538</v>
      </c>
      <c r="B44" s="641"/>
      <c r="C44" s="641"/>
      <c r="D44" s="641"/>
      <c r="E44" s="641"/>
      <c r="F44" s="641"/>
      <c r="G44" s="642"/>
      <c r="H44" s="643">
        <f>H36+F43</f>
        <v>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59">
        <f>H27+H44</f>
        <v>2185000</v>
      </c>
      <c r="K46" s="28"/>
      <c r="L46" s="28"/>
    </row>
    <row r="47" spans="1:12" ht="24.75" customHeight="1">
      <c r="A47" s="1114"/>
      <c r="B47" s="1114"/>
      <c r="C47" s="1114"/>
      <c r="D47" s="1114"/>
      <c r="E47" s="1114"/>
      <c r="F47" s="1114"/>
      <c r="G47" s="646"/>
      <c r="H47" s="646"/>
      <c r="K47" s="28"/>
      <c r="L47" s="28"/>
    </row>
    <row r="48" spans="1:12" ht="24.95" customHeight="1">
      <c r="A48" s="1075" t="s">
        <v>387</v>
      </c>
      <c r="B48" s="29"/>
      <c r="C48" s="29"/>
      <c r="D48" s="29"/>
      <c r="E48" s="29"/>
      <c r="F48" s="29"/>
      <c r="G48" s="29"/>
      <c r="H48" s="544" t="s">
        <v>23</v>
      </c>
    </row>
    <row r="49" spans="1:10" ht="24.95" customHeight="1">
      <c r="A49" s="1075"/>
      <c r="B49" s="29"/>
      <c r="C49" s="29"/>
      <c r="D49" s="29"/>
      <c r="E49" s="29"/>
      <c r="F49" s="29"/>
      <c r="G49" s="29"/>
    </row>
    <row r="50" spans="1:10" ht="43.15" customHeight="1" thickBot="1">
      <c r="A50" s="1231" t="s">
        <v>605</v>
      </c>
      <c r="B50" s="1231"/>
      <c r="C50" s="29"/>
      <c r="D50" s="29"/>
      <c r="E50" s="29"/>
      <c r="F50" s="29"/>
      <c r="G50" s="29"/>
      <c r="H50" s="29"/>
    </row>
    <row r="51" spans="1:10" ht="44.45" customHeight="1" thickBot="1">
      <c r="A51" s="548" t="s">
        <v>505</v>
      </c>
      <c r="B51" s="548" t="s">
        <v>41</v>
      </c>
      <c r="C51" s="1244" t="s">
        <v>568</v>
      </c>
      <c r="D51" s="1245"/>
      <c r="E51" s="1244" t="s">
        <v>569</v>
      </c>
      <c r="F51" s="1245"/>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0"/>
      <c r="B54" s="837">
        <v>0</v>
      </c>
      <c r="C54" s="1238"/>
      <c r="D54" s="1232"/>
      <c r="E54" s="1238"/>
      <c r="F54" s="1232"/>
    </row>
    <row r="55" spans="1:10" ht="24.95" customHeight="1">
      <c r="A55" s="871"/>
      <c r="B55" s="838">
        <v>0</v>
      </c>
      <c r="C55" s="1238"/>
      <c r="D55" s="1232"/>
      <c r="E55" s="1238"/>
      <c r="F55" s="1232"/>
      <c r="J55" s="161"/>
    </row>
    <row r="56" spans="1:10" ht="24.95" customHeight="1">
      <c r="A56" s="871"/>
      <c r="B56" s="838">
        <v>0</v>
      </c>
      <c r="C56" s="1238"/>
      <c r="D56" s="1232"/>
      <c r="E56" s="1238"/>
      <c r="F56" s="1232"/>
      <c r="I56" s="212"/>
    </row>
    <row r="57" spans="1:10" ht="24.95" customHeight="1">
      <c r="A57" s="871"/>
      <c r="B57" s="838">
        <v>0</v>
      </c>
      <c r="C57" s="1238"/>
      <c r="D57" s="1232"/>
      <c r="E57" s="1238"/>
      <c r="F57" s="1232"/>
      <c r="I57" s="212"/>
    </row>
    <row r="58" spans="1:10" ht="24.95" customHeight="1">
      <c r="A58" s="871"/>
      <c r="B58" s="838">
        <v>0</v>
      </c>
      <c r="C58" s="1238"/>
      <c r="D58" s="1232"/>
      <c r="E58" s="1238"/>
      <c r="F58" s="1232"/>
      <c r="I58" s="212"/>
    </row>
    <row r="59" spans="1:10" ht="24.95" customHeight="1" thickBot="1">
      <c r="A59" s="872"/>
      <c r="B59" s="839">
        <v>0</v>
      </c>
      <c r="C59" s="1239"/>
      <c r="D59" s="1233"/>
      <c r="E59" s="1239"/>
      <c r="F59" s="1233"/>
      <c r="I59" s="212"/>
      <c r="J59" s="163"/>
    </row>
    <row r="60" spans="1:10" ht="24.95" customHeight="1" thickBot="1">
      <c r="A60" s="556" t="s">
        <v>247</v>
      </c>
      <c r="B60" s="557">
        <f>SUM(B54:B59)</f>
        <v>0</v>
      </c>
      <c r="C60" s="1240"/>
      <c r="D60" s="1234"/>
      <c r="E60" s="1240"/>
      <c r="F60" s="1234"/>
      <c r="I60" s="647"/>
    </row>
    <row r="61" spans="1:10" ht="24.95" customHeight="1" thickBot="1">
      <c r="A61" s="558"/>
      <c r="B61" s="558"/>
      <c r="C61" s="559"/>
      <c r="D61" s="560"/>
      <c r="E61" s="559"/>
      <c r="F61" s="560"/>
      <c r="I61" s="212"/>
    </row>
    <row r="62" spans="1:10" ht="24.95" customHeight="1" thickBot="1">
      <c r="A62" s="561" t="s">
        <v>43</v>
      </c>
      <c r="B62" s="553"/>
      <c r="C62" s="554"/>
      <c r="D62" s="555"/>
      <c r="E62" s="554"/>
      <c r="F62" s="555"/>
      <c r="I62" s="212"/>
    </row>
    <row r="63" spans="1:10" ht="24.95" customHeight="1">
      <c r="A63" s="873" t="s">
        <v>786</v>
      </c>
      <c r="B63" s="840">
        <v>14300</v>
      </c>
      <c r="C63" s="1246" t="s">
        <v>787</v>
      </c>
      <c r="D63" s="1247"/>
      <c r="E63" s="1242" t="s">
        <v>788</v>
      </c>
      <c r="F63" s="1236"/>
      <c r="I63" s="212"/>
    </row>
    <row r="64" spans="1:10" ht="24.95" customHeight="1">
      <c r="A64" s="871"/>
      <c r="B64" s="831">
        <v>0</v>
      </c>
      <c r="C64" s="1238"/>
      <c r="D64" s="1232"/>
      <c r="E64" s="1238"/>
      <c r="F64" s="1232"/>
      <c r="I64" s="212"/>
    </row>
    <row r="65" spans="1:9" ht="24.95" customHeight="1">
      <c r="A65" s="871"/>
      <c r="B65" s="838">
        <v>0</v>
      </c>
      <c r="C65" s="1238"/>
      <c r="D65" s="1232"/>
      <c r="E65" s="1238"/>
      <c r="F65" s="1232"/>
      <c r="I65" s="212"/>
    </row>
    <row r="66" spans="1:9" ht="24.95" customHeight="1">
      <c r="A66" s="871"/>
      <c r="B66" s="838">
        <v>0</v>
      </c>
      <c r="C66" s="1238"/>
      <c r="D66" s="1232"/>
      <c r="E66" s="1238"/>
      <c r="F66" s="1232"/>
      <c r="I66" s="212"/>
    </row>
    <row r="67" spans="1:9" ht="24.95" customHeight="1">
      <c r="A67" s="871"/>
      <c r="B67" s="838">
        <v>0</v>
      </c>
      <c r="C67" s="1238"/>
      <c r="D67" s="1232"/>
      <c r="E67" s="1238"/>
      <c r="F67" s="1232"/>
    </row>
    <row r="68" spans="1:9" ht="24.95" customHeight="1" thickBot="1">
      <c r="A68" s="872"/>
      <c r="B68" s="839">
        <v>0</v>
      </c>
      <c r="C68" s="1239"/>
      <c r="D68" s="1233"/>
      <c r="E68" s="1239"/>
      <c r="F68" s="1233"/>
    </row>
    <row r="69" spans="1:9" ht="24.95" customHeight="1" thickBot="1">
      <c r="A69" s="556" t="s">
        <v>248</v>
      </c>
      <c r="B69" s="557">
        <f>SUM(B63:B68)</f>
        <v>14300</v>
      </c>
      <c r="C69" s="1241"/>
      <c r="D69" s="1235"/>
      <c r="E69" s="1241"/>
      <c r="F69" s="1235"/>
    </row>
    <row r="70" spans="1:9" ht="24.95" customHeight="1" thickBot="1">
      <c r="A70" s="556" t="s">
        <v>44</v>
      </c>
      <c r="B70" s="557">
        <f>+B69+B60</f>
        <v>14300</v>
      </c>
      <c r="C70" s="1241"/>
      <c r="D70" s="1235"/>
      <c r="E70" s="1243"/>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yKtZhhttnNH2DJHxmzUGW+mEzhu252B0Ud7BKeWbJvXOnBurWyXKf5rReClAK6h1f38mmrwya7Yo0/6msGk7QQ==" saltValue="mPzlHkV3wNYU4LG/WX/F+Q=="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4" sqref="H14"/>
    </sheetView>
  </sheetViews>
  <sheetFormatPr defaultColWidth="9.140625" defaultRowHeight="12.75"/>
  <cols>
    <col min="1" max="1" width="31.28515625" style="314" customWidth="1"/>
    <col min="2" max="2" width="100.5703125" style="314" customWidth="1"/>
    <col min="3" max="3" width="18.7109375" style="314" customWidth="1"/>
    <col min="4" max="4" width="25.7109375" style="314" customWidth="1"/>
    <col min="5" max="5" width="21.42578125" style="314" customWidth="1"/>
    <col min="6" max="6" width="6.85546875" style="314" customWidth="1"/>
    <col min="7" max="7" width="9.140625" style="314"/>
    <col min="8" max="8" width="59" style="314" customWidth="1"/>
    <col min="9" max="9" width="13.7109375" style="314" customWidth="1"/>
    <col min="10" max="10" width="12.7109375" style="314" bestFit="1" customWidth="1"/>
    <col min="11" max="11" width="14" style="314" customWidth="1"/>
    <col min="12" max="28" width="12.7109375" style="314" customWidth="1"/>
    <col min="29" max="29" width="11" style="314" customWidth="1"/>
    <col min="30" max="30" width="12.7109375" style="314" customWidth="1"/>
    <col min="31" max="31" width="12.42578125" style="314" customWidth="1"/>
    <col min="32" max="32" width="11.5703125" style="314" customWidth="1"/>
    <col min="33" max="33" width="2.28515625" style="314" customWidth="1"/>
    <col min="34" max="34" width="20.140625" style="314" customWidth="1"/>
    <col min="35" max="35" width="6" style="807" customWidth="1"/>
    <col min="36" max="36" width="14.5703125" style="314" customWidth="1"/>
    <col min="37" max="37" width="13.7109375" style="314" customWidth="1"/>
    <col min="38" max="38" width="2.140625" style="314" customWidth="1"/>
    <col min="39" max="40" width="9.140625" style="314"/>
    <col min="41" max="41" width="11.28515625" style="314" customWidth="1"/>
    <col min="42" max="42" width="11.5703125" style="314" customWidth="1"/>
    <col min="43" max="43" width="11" style="314" customWidth="1"/>
    <col min="44" max="44" width="11.140625" style="314" customWidth="1"/>
    <col min="45" max="16384" width="9.140625" style="314"/>
  </cols>
  <sheetData>
    <row r="1" spans="1:47" s="50" customFormat="1" ht="24" customHeight="1">
      <c r="A1" s="546"/>
      <c r="B1" s="546"/>
      <c r="C1" s="546"/>
      <c r="D1" s="546"/>
      <c r="E1" s="1104" t="s">
        <v>450</v>
      </c>
      <c r="F1" s="546"/>
      <c r="AI1" s="33"/>
    </row>
    <row r="2" spans="1:47" s="50" customFormat="1" ht="24" customHeight="1">
      <c r="A2" s="546"/>
      <c r="B2" s="546"/>
      <c r="C2" s="546"/>
      <c r="D2" s="546"/>
      <c r="E2" s="546"/>
      <c r="F2" s="546"/>
      <c r="AI2" s="33"/>
    </row>
    <row r="3" spans="1:47" s="50" customFormat="1" ht="24" customHeight="1">
      <c r="A3" s="1222" t="s">
        <v>259</v>
      </c>
      <c r="B3" s="1222"/>
      <c r="C3" s="1222"/>
      <c r="D3" s="1222"/>
      <c r="E3" s="1222"/>
      <c r="F3" s="546"/>
    </row>
    <row r="4" spans="1:47" s="50" customFormat="1" ht="23.45" customHeight="1">
      <c r="A4" s="1222" t="s">
        <v>608</v>
      </c>
      <c r="B4" s="1222"/>
      <c r="C4" s="1222"/>
      <c r="D4" s="1222"/>
      <c r="E4" s="1222"/>
      <c r="F4" s="546"/>
    </row>
    <row r="5" spans="1:47" s="50" customFormat="1" ht="22.9" customHeight="1">
      <c r="A5" s="1221"/>
      <c r="B5" s="1221"/>
      <c r="C5" s="1221"/>
      <c r="D5" s="1221"/>
      <c r="E5" s="1221"/>
      <c r="F5" s="546"/>
    </row>
    <row r="6" spans="1:47" s="50" customFormat="1" ht="24.95" customHeight="1">
      <c r="A6" s="546"/>
      <c r="B6" s="546"/>
      <c r="C6" s="546"/>
      <c r="D6" s="546"/>
      <c r="E6" s="546"/>
      <c r="F6" s="546"/>
    </row>
    <row r="7" spans="1:47" s="50" customFormat="1" ht="24.95" customHeight="1" thickBot="1">
      <c r="A7" s="1104" t="s">
        <v>233</v>
      </c>
      <c r="B7" s="1109" t="str">
        <f>'CHECK SHEET'!D7</f>
        <v>Florida Keys Community College</v>
      </c>
      <c r="C7" s="1109"/>
      <c r="D7" s="1109"/>
      <c r="E7" s="1109"/>
      <c r="F7" s="1109"/>
    </row>
    <row r="8" spans="1:47" s="50" customFormat="1" ht="24.95" customHeight="1">
      <c r="A8" s="1124"/>
      <c r="B8" s="1124"/>
      <c r="C8" s="1124"/>
      <c r="D8" s="1124"/>
      <c r="E8" s="1124"/>
    </row>
    <row r="9" spans="1:47" s="50" customFormat="1" ht="24.95" customHeight="1">
      <c r="A9" s="313"/>
      <c r="B9" s="793"/>
      <c r="C9" s="793"/>
      <c r="D9" s="793"/>
      <c r="E9" s="793"/>
    </row>
    <row r="10" spans="1:47" s="50" customFormat="1" ht="42.6" customHeight="1">
      <c r="A10" s="1248" t="s">
        <v>711</v>
      </c>
      <c r="B10" s="1248"/>
      <c r="C10" s="1248"/>
      <c r="D10" s="1248"/>
      <c r="E10" s="1248"/>
    </row>
    <row r="11" spans="1:47" ht="24.95" customHeight="1" thickBot="1">
      <c r="A11" s="794"/>
      <c r="B11" s="794"/>
      <c r="C11" s="794"/>
      <c r="D11" s="794"/>
      <c r="E11" s="794"/>
      <c r="AI11" s="314"/>
      <c r="AT11" s="313"/>
      <c r="AU11" s="313"/>
    </row>
    <row r="12" spans="1:47" s="1176" customFormat="1" ht="78" customHeight="1" thickBot="1">
      <c r="A12" s="795" t="s">
        <v>24</v>
      </c>
      <c r="B12" s="795" t="s">
        <v>25</v>
      </c>
      <c r="C12" s="796" t="s">
        <v>405</v>
      </c>
      <c r="D12" s="796" t="s">
        <v>623</v>
      </c>
      <c r="E12" s="796" t="s">
        <v>575</v>
      </c>
    </row>
    <row r="13" spans="1:47" ht="24" customHeight="1">
      <c r="A13" s="797" t="s">
        <v>7</v>
      </c>
      <c r="B13" s="797" t="s">
        <v>436</v>
      </c>
      <c r="C13" s="798">
        <v>40101</v>
      </c>
      <c r="D13" s="944">
        <v>0</v>
      </c>
      <c r="E13" s="944">
        <v>0</v>
      </c>
      <c r="AI13" s="314"/>
    </row>
    <row r="14" spans="1:47" ht="24.95" customHeight="1">
      <c r="A14" s="945" t="s">
        <v>7</v>
      </c>
      <c r="B14" s="945" t="s">
        <v>338</v>
      </c>
      <c r="C14" s="946" t="s">
        <v>26</v>
      </c>
      <c r="D14" s="843">
        <v>0</v>
      </c>
      <c r="E14" s="843">
        <v>0</v>
      </c>
      <c r="AI14" s="314"/>
    </row>
    <row r="15" spans="1:47" ht="24.95" customHeight="1">
      <c r="A15" s="945" t="s">
        <v>7</v>
      </c>
      <c r="B15" s="945" t="s">
        <v>27</v>
      </c>
      <c r="C15" s="946" t="s">
        <v>28</v>
      </c>
      <c r="D15" s="843">
        <v>0</v>
      </c>
      <c r="E15" s="843">
        <v>0</v>
      </c>
      <c r="AI15" s="314"/>
    </row>
    <row r="16" spans="1:47" ht="24.95" customHeight="1">
      <c r="A16" s="945" t="s">
        <v>7</v>
      </c>
      <c r="B16" s="945" t="s">
        <v>527</v>
      </c>
      <c r="C16" s="946" t="s">
        <v>29</v>
      </c>
      <c r="D16" s="843">
        <v>0</v>
      </c>
      <c r="E16" s="843">
        <v>0</v>
      </c>
      <c r="AI16" s="314"/>
    </row>
    <row r="17" spans="1:46" ht="24.95" customHeight="1">
      <c r="A17" s="945" t="s">
        <v>7</v>
      </c>
      <c r="B17" s="945" t="s">
        <v>462</v>
      </c>
      <c r="C17" s="946" t="s">
        <v>30</v>
      </c>
      <c r="D17" s="844">
        <v>0</v>
      </c>
      <c r="E17" s="844">
        <v>0</v>
      </c>
      <c r="AI17" s="314"/>
    </row>
    <row r="18" spans="1:46" ht="24.95" customHeight="1" thickBot="1">
      <c r="A18" s="945" t="s">
        <v>7</v>
      </c>
      <c r="B18" s="945" t="s">
        <v>246</v>
      </c>
      <c r="C18" s="946">
        <v>40160</v>
      </c>
      <c r="D18" s="845">
        <v>0</v>
      </c>
      <c r="E18" s="845">
        <v>0</v>
      </c>
      <c r="AI18" s="314"/>
    </row>
    <row r="19" spans="1:46" ht="24.95" customHeight="1" thickBot="1">
      <c r="A19" s="799"/>
      <c r="B19" s="947"/>
      <c r="C19" s="948"/>
      <c r="D19" s="799"/>
      <c r="E19" s="949"/>
      <c r="AI19" s="314"/>
    </row>
    <row r="20" spans="1:46" ht="24.95" customHeight="1" thickBot="1">
      <c r="A20" s="950"/>
      <c r="B20" s="951" t="s">
        <v>260</v>
      </c>
      <c r="C20" s="951"/>
      <c r="D20" s="951"/>
      <c r="E20" s="952">
        <f>SUM(E13:E18)</f>
        <v>0</v>
      </c>
      <c r="AI20" s="314"/>
    </row>
    <row r="21" spans="1:46" ht="78" customHeight="1" thickBot="1">
      <c r="A21" s="795" t="s">
        <v>24</v>
      </c>
      <c r="B21" s="795" t="s">
        <v>25</v>
      </c>
      <c r="C21" s="796" t="s">
        <v>405</v>
      </c>
      <c r="D21" s="796" t="s">
        <v>503</v>
      </c>
      <c r="E21" s="796" t="s">
        <v>575</v>
      </c>
      <c r="AI21" s="314"/>
    </row>
    <row r="22" spans="1:46" s="311" customFormat="1" ht="24.95" customHeight="1">
      <c r="A22" s="953" t="s">
        <v>376</v>
      </c>
      <c r="B22" s="954" t="s">
        <v>436</v>
      </c>
      <c r="C22" s="955">
        <v>40301</v>
      </c>
      <c r="D22" s="944">
        <v>0</v>
      </c>
      <c r="E22" s="944">
        <v>0</v>
      </c>
    </row>
    <row r="23" spans="1:46" s="311" customFormat="1" ht="24.95" customHeight="1">
      <c r="A23" s="945" t="s">
        <v>376</v>
      </c>
      <c r="B23" s="956" t="s">
        <v>338</v>
      </c>
      <c r="C23" s="957" t="s">
        <v>34</v>
      </c>
      <c r="D23" s="958">
        <v>0</v>
      </c>
      <c r="E23" s="958">
        <v>0</v>
      </c>
    </row>
    <row r="24" spans="1:46" s="311" customFormat="1" ht="24.95" customHeight="1">
      <c r="A24" s="945" t="s">
        <v>376</v>
      </c>
      <c r="B24" s="956" t="s">
        <v>27</v>
      </c>
      <c r="C24" s="957" t="s">
        <v>35</v>
      </c>
      <c r="D24" s="958">
        <v>0</v>
      </c>
      <c r="E24" s="958">
        <v>0</v>
      </c>
    </row>
    <row r="25" spans="1:46" s="311" customFormat="1" ht="24.95" customHeight="1">
      <c r="A25" s="945" t="s">
        <v>376</v>
      </c>
      <c r="B25" s="956" t="s">
        <v>527</v>
      </c>
      <c r="C25" s="957" t="s">
        <v>36</v>
      </c>
      <c r="D25" s="958">
        <v>0</v>
      </c>
      <c r="E25" s="958">
        <v>0</v>
      </c>
    </row>
    <row r="26" spans="1:46" s="311" customFormat="1" ht="24.95" customHeight="1">
      <c r="A26" s="945" t="s">
        <v>376</v>
      </c>
      <c r="B26" s="956" t="s">
        <v>462</v>
      </c>
      <c r="C26" s="957" t="s">
        <v>37</v>
      </c>
      <c r="D26" s="958">
        <v>0</v>
      </c>
      <c r="E26" s="958">
        <v>0</v>
      </c>
    </row>
    <row r="27" spans="1:46" s="311" customFormat="1" ht="24.95" customHeight="1" thickBot="1">
      <c r="A27" s="718" t="s">
        <v>376</v>
      </c>
      <c r="B27" s="954" t="s">
        <v>246</v>
      </c>
      <c r="C27" s="800">
        <v>40360</v>
      </c>
      <c r="D27" s="845">
        <v>0</v>
      </c>
      <c r="E27" s="846">
        <v>0</v>
      </c>
    </row>
    <row r="28" spans="1:46" ht="24.95" customHeight="1" thickBot="1">
      <c r="A28" s="959"/>
      <c r="B28" s="960"/>
      <c r="C28" s="959"/>
      <c r="D28" s="801"/>
      <c r="E28" s="961"/>
      <c r="AI28" s="314"/>
    </row>
    <row r="29" spans="1:46" ht="24.95" customHeight="1" thickBot="1">
      <c r="A29" s="962"/>
      <c r="B29" s="963" t="s">
        <v>260</v>
      </c>
      <c r="C29" s="802"/>
      <c r="D29" s="802"/>
      <c r="E29" s="964">
        <f>SUM(E22:E27)</f>
        <v>0</v>
      </c>
      <c r="AI29" s="314"/>
      <c r="AT29" s="803"/>
    </row>
    <row r="30" spans="1:46" ht="24.95" customHeight="1" thickBot="1">
      <c r="A30" s="802" t="s">
        <v>40</v>
      </c>
      <c r="B30" s="804"/>
      <c r="C30" s="805"/>
      <c r="D30" s="805"/>
      <c r="E30" s="806">
        <f>E20+E29</f>
        <v>0</v>
      </c>
      <c r="AI30" s="314"/>
    </row>
    <row r="31" spans="1:46" ht="24.95" customHeight="1">
      <c r="A31" s="793"/>
      <c r="B31" s="794"/>
      <c r="C31" s="794"/>
      <c r="D31" s="794"/>
      <c r="E31" s="794"/>
      <c r="AI31" s="314"/>
    </row>
    <row r="32" spans="1:46" ht="24.95" customHeight="1" thickBot="1">
      <c r="A32" s="929" t="s">
        <v>384</v>
      </c>
      <c r="B32" s="794"/>
      <c r="C32" s="794"/>
      <c r="D32" s="794"/>
      <c r="E32" s="794"/>
      <c r="AI32" s="314"/>
    </row>
    <row r="33" spans="1:46" ht="24.95" customHeight="1">
      <c r="A33" s="1115"/>
      <c r="B33" s="1116"/>
      <c r="C33" s="1116"/>
      <c r="D33" s="1116"/>
      <c r="E33" s="1117"/>
      <c r="AI33" s="314"/>
    </row>
    <row r="34" spans="1:46" ht="24.95" customHeight="1">
      <c r="A34" s="1118"/>
      <c r="B34" s="1119"/>
      <c r="C34" s="1119"/>
      <c r="D34" s="1119"/>
      <c r="E34" s="1120"/>
      <c r="AI34" s="314"/>
    </row>
    <row r="35" spans="1:46" s="803" customFormat="1" ht="24.95" customHeight="1">
      <c r="A35" s="1118"/>
      <c r="B35" s="1119"/>
      <c r="C35" s="1119"/>
      <c r="D35" s="1119"/>
      <c r="E35" s="1120"/>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row>
    <row r="36" spans="1:46" ht="24.95" customHeight="1">
      <c r="A36" s="1118"/>
      <c r="B36" s="1119"/>
      <c r="C36" s="1119"/>
      <c r="D36" s="1119"/>
      <c r="E36" s="1120"/>
      <c r="AI36" s="314"/>
    </row>
    <row r="37" spans="1:46" ht="24.95" customHeight="1" thickBot="1">
      <c r="A37" s="1121"/>
      <c r="B37" s="1122"/>
      <c r="C37" s="1122"/>
      <c r="D37" s="1122"/>
      <c r="E37" s="1123"/>
      <c r="AI37" s="314"/>
    </row>
    <row r="38" spans="1:46" ht="20.25" customHeight="1">
      <c r="A38" s="313"/>
      <c r="B38" s="313"/>
      <c r="C38" s="313"/>
      <c r="D38" s="313"/>
      <c r="E38" s="313"/>
      <c r="AI38" s="314"/>
    </row>
    <row r="39" spans="1:46" ht="20.25" customHeight="1">
      <c r="AI39" s="314"/>
    </row>
    <row r="40" spans="1:46" ht="20.25" customHeight="1">
      <c r="AI40" s="314"/>
    </row>
    <row r="41" spans="1:46" ht="20.25" customHeight="1">
      <c r="AI41" s="314"/>
    </row>
    <row r="42" spans="1:46" ht="20.25" customHeight="1">
      <c r="AI42" s="314"/>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8"/>
      <c r="AI59" s="809"/>
    </row>
    <row r="60" spans="34:35" ht="20.25" customHeight="1">
      <c r="AH60" s="808"/>
      <c r="AI60" s="809"/>
    </row>
    <row r="61" spans="34:35" ht="20.25" customHeight="1">
      <c r="AH61" s="808"/>
    </row>
    <row r="62" spans="34:35" ht="20.25" customHeight="1"/>
    <row r="63" spans="34:35" ht="20.25" customHeight="1">
      <c r="AH63" s="808"/>
      <c r="AI63" s="809"/>
    </row>
    <row r="64" spans="34:35" ht="20.25" customHeight="1">
      <c r="AH64" s="808"/>
      <c r="AI64" s="809"/>
    </row>
    <row r="65" spans="1:35" ht="20.25" customHeight="1">
      <c r="A65" s="313"/>
      <c r="B65" s="313"/>
      <c r="C65" s="313"/>
      <c r="D65" s="313"/>
      <c r="E65" s="313"/>
      <c r="AH65" s="808"/>
      <c r="AI65" s="809"/>
    </row>
    <row r="66" spans="1:35" ht="20.25" customHeight="1">
      <c r="A66" s="313"/>
      <c r="B66" s="313"/>
      <c r="C66" s="313"/>
      <c r="D66" s="313"/>
      <c r="E66" s="313"/>
    </row>
    <row r="67" spans="1:35" ht="20.25" customHeight="1">
      <c r="A67" s="313"/>
      <c r="B67" s="313"/>
      <c r="C67" s="313"/>
      <c r="D67" s="313"/>
      <c r="E67" s="313"/>
      <c r="AH67" s="808"/>
    </row>
    <row r="68" spans="1:35" ht="20.25" customHeight="1">
      <c r="A68" s="313"/>
      <c r="B68" s="313"/>
      <c r="C68" s="313"/>
      <c r="D68" s="313"/>
      <c r="E68" s="313"/>
      <c r="AH68" s="808"/>
      <c r="AI68" s="809"/>
    </row>
    <row r="69" spans="1:35" ht="20.25" customHeight="1">
      <c r="AH69" s="808"/>
      <c r="AI69" s="809"/>
    </row>
    <row r="70" spans="1:35" ht="20.25" customHeight="1">
      <c r="AH70" s="808"/>
    </row>
    <row r="71" spans="1:35" ht="20.25" customHeight="1">
      <c r="AH71" s="808"/>
    </row>
    <row r="72" spans="1:35" ht="20.25" customHeight="1">
      <c r="AH72" s="808"/>
    </row>
    <row r="73" spans="1:35" ht="20.25" customHeight="1">
      <c r="AH73" s="808"/>
      <c r="AI73" s="809"/>
    </row>
    <row r="74" spans="1:35" ht="20.25" customHeight="1"/>
    <row r="75" spans="1:35" ht="20.25" customHeight="1">
      <c r="AH75" s="808"/>
    </row>
    <row r="76" spans="1:35" ht="20.25" customHeight="1">
      <c r="AH76" s="808"/>
      <c r="AI76" s="809"/>
    </row>
    <row r="77" spans="1:35" ht="20.25" customHeight="1">
      <c r="AH77" s="808"/>
      <c r="AI77" s="809"/>
    </row>
    <row r="78" spans="1:35" ht="20.25" customHeight="1">
      <c r="AH78" s="808"/>
      <c r="AI78" s="809"/>
    </row>
    <row r="79" spans="1:35" ht="20.25" customHeight="1">
      <c r="AH79" s="808"/>
      <c r="AI79" s="809"/>
    </row>
    <row r="80" spans="1:35" ht="20.25" customHeight="1">
      <c r="AH80" s="808"/>
    </row>
    <row r="81" spans="3:35" ht="20.25" customHeight="1">
      <c r="AH81" s="808"/>
      <c r="AI81" s="809"/>
    </row>
    <row r="82" spans="3:35" ht="20.25" customHeight="1">
      <c r="AH82" s="808"/>
      <c r="AI82" s="809"/>
    </row>
    <row r="83" spans="3:35" ht="20.25" customHeight="1">
      <c r="AH83" s="808"/>
      <c r="AI83" s="809"/>
    </row>
    <row r="84" spans="3:35" ht="20.25" customHeight="1"/>
    <row r="85" spans="3:35" ht="20.25" customHeight="1">
      <c r="AH85" s="808"/>
      <c r="AI85" s="809"/>
    </row>
    <row r="86" spans="3:35" ht="18" customHeight="1">
      <c r="AH86" s="808"/>
      <c r="AI86" s="80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4">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RC+3eCs4XOCDQrGX484rPa+j2ZNa0ILx7stAdJ8vOgz0aUAy11luRYMDDk9SqMx6fcGCP/+VuPvMQAYA4+lEpg==" saltValue="uPJfJWeHIpB7xet8zxH43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G4" sqref="G4"/>
    </sheetView>
  </sheetViews>
  <sheetFormatPr defaultColWidth="9.140625" defaultRowHeight="18.75"/>
  <cols>
    <col min="1" max="1" width="57" style="311" customWidth="1"/>
    <col min="2" max="2" width="1.5703125" style="311" customWidth="1"/>
    <col min="3" max="3" width="21.28515625" style="311" customWidth="1"/>
    <col min="4" max="4" width="9.140625" style="311"/>
    <col min="5" max="5" width="49.42578125" style="311" customWidth="1"/>
    <col min="6" max="6" width="17" style="311" customWidth="1"/>
    <col min="7" max="7" width="25.5703125" style="311" customWidth="1"/>
    <col min="8" max="8" width="1.85546875" style="311" customWidth="1"/>
    <col min="9" max="9" width="11.7109375" style="311" bestFit="1" customWidth="1"/>
    <col min="10" max="10" width="15.42578125" style="311" bestFit="1" customWidth="1"/>
    <col min="11" max="16384" width="9.140625" style="311"/>
  </cols>
  <sheetData>
    <row r="1" spans="1:8" ht="26.25">
      <c r="G1" s="656"/>
    </row>
    <row r="2" spans="1:8" ht="30" customHeight="1" thickBot="1">
      <c r="A2" s="1249" t="s">
        <v>15</v>
      </c>
      <c r="B2" s="1226" t="str">
        <f>'CHECK SHEET'!D7</f>
        <v>Florida Keys Community College</v>
      </c>
      <c r="C2" s="1226"/>
      <c r="D2" s="1226"/>
      <c r="E2" s="1226"/>
      <c r="F2" s="1226"/>
      <c r="G2" s="1250"/>
    </row>
    <row r="3" spans="1:8" ht="22.9" customHeight="1">
      <c r="A3" s="1222" t="s">
        <v>510</v>
      </c>
      <c r="B3" s="1222"/>
      <c r="C3" s="1222"/>
      <c r="D3" s="1222"/>
      <c r="E3" s="1222"/>
      <c r="F3" s="1222"/>
      <c r="G3" s="1222"/>
    </row>
    <row r="4" spans="1:8" ht="23.45" customHeight="1">
      <c r="A4" s="1222" t="s">
        <v>45</v>
      </c>
      <c r="B4" s="1222"/>
      <c r="C4" s="1222"/>
      <c r="D4" s="1222"/>
      <c r="E4" s="1222"/>
      <c r="F4" s="1222"/>
      <c r="G4" s="1222"/>
    </row>
    <row r="5" spans="1:8" ht="23.45" customHeight="1">
      <c r="A5" s="1222" t="s">
        <v>781</v>
      </c>
      <c r="B5" s="1222"/>
      <c r="C5" s="1222"/>
      <c r="D5" s="1222"/>
      <c r="E5" s="1222"/>
      <c r="F5" s="1222"/>
      <c r="G5" s="1222"/>
    </row>
    <row r="6" spans="1:8" ht="19.899999999999999" customHeight="1">
      <c r="A6" s="1251"/>
      <c r="B6" s="1251"/>
      <c r="C6" s="1251"/>
      <c r="D6" s="1251"/>
      <c r="E6" s="1251"/>
      <c r="F6" s="1251"/>
      <c r="G6" s="1251"/>
    </row>
    <row r="7" spans="1:8" ht="38.450000000000003" customHeight="1">
      <c r="A7" s="1252" t="s">
        <v>656</v>
      </c>
      <c r="B7" s="1252"/>
      <c r="C7" s="1252"/>
      <c r="D7" s="1252"/>
      <c r="E7" s="1252"/>
      <c r="F7" s="1252"/>
      <c r="G7" s="1252"/>
      <c r="H7" s="321"/>
    </row>
    <row r="8" spans="1:8" ht="19.899999999999999" customHeight="1">
      <c r="A8" s="320"/>
      <c r="B8" s="320"/>
      <c r="C8" s="320"/>
      <c r="D8" s="320"/>
      <c r="E8" s="320"/>
      <c r="F8" s="320"/>
      <c r="G8" s="320"/>
      <c r="H8" s="1061"/>
    </row>
    <row r="9" spans="1:8" ht="76.150000000000006" customHeight="1">
      <c r="A9" s="1039" t="s">
        <v>46</v>
      </c>
      <c r="B9" s="1040" t="s">
        <v>47</v>
      </c>
      <c r="C9" s="1040"/>
      <c r="D9" s="1040"/>
      <c r="E9" s="1040"/>
      <c r="F9" s="1041" t="s">
        <v>405</v>
      </c>
      <c r="G9" s="1042" t="s">
        <v>670</v>
      </c>
      <c r="H9" s="315"/>
    </row>
    <row r="10" spans="1:8" ht="19.899999999999999" customHeight="1">
      <c r="A10" s="1062" t="s">
        <v>539</v>
      </c>
      <c r="B10" s="1063"/>
      <c r="C10" s="1063"/>
      <c r="D10" s="1063"/>
      <c r="E10" s="1063"/>
      <c r="F10" s="1064"/>
      <c r="G10" s="1065"/>
      <c r="H10" s="315"/>
    </row>
    <row r="11" spans="1:8" ht="19.899999999999999" customHeight="1">
      <c r="A11" s="968"/>
      <c r="B11" s="322"/>
      <c r="C11" s="322"/>
      <c r="D11" s="322"/>
      <c r="E11" s="322"/>
      <c r="F11" s="323"/>
      <c r="G11" s="324"/>
      <c r="H11" s="315"/>
    </row>
    <row r="12" spans="1:8" ht="19.899999999999999" customHeight="1">
      <c r="A12" s="969" t="s">
        <v>7</v>
      </c>
      <c r="B12" s="325"/>
      <c r="C12" s="325" t="s">
        <v>436</v>
      </c>
      <c r="D12" s="325"/>
      <c r="E12" s="325"/>
      <c r="F12" s="326">
        <v>40101</v>
      </c>
      <c r="G12" s="327">
        <f>+'EXHIBIT C'!H10+'EXHIBIT C(2)'!E13</f>
        <v>88118</v>
      </c>
      <c r="H12" s="315"/>
    </row>
    <row r="13" spans="1:8" ht="19.899999999999999" customHeight="1">
      <c r="A13" s="968" t="s">
        <v>7</v>
      </c>
      <c r="B13" s="322"/>
      <c r="C13" s="315" t="s">
        <v>338</v>
      </c>
      <c r="D13" s="322"/>
      <c r="E13" s="322"/>
      <c r="F13" s="328" t="s">
        <v>26</v>
      </c>
      <c r="G13" s="327">
        <f>+'EXHIBIT C'!H11+'EXHIBIT C(2)'!E14</f>
        <v>896507</v>
      </c>
      <c r="H13" s="315"/>
    </row>
    <row r="14" spans="1:8" ht="19.899999999999999" customHeight="1">
      <c r="A14" s="968" t="s">
        <v>7</v>
      </c>
      <c r="B14" s="322"/>
      <c r="C14" s="322" t="s">
        <v>27</v>
      </c>
      <c r="D14" s="322"/>
      <c r="E14" s="322"/>
      <c r="F14" s="328" t="s">
        <v>28</v>
      </c>
      <c r="G14" s="1044">
        <f>+'EXHIBIT C'!H12+'EXHIBIT C(2)'!E15</f>
        <v>487342</v>
      </c>
      <c r="H14" s="315"/>
    </row>
    <row r="15" spans="1:8" ht="19.899999999999999" customHeight="1">
      <c r="A15" s="968" t="s">
        <v>7</v>
      </c>
      <c r="B15" s="322"/>
      <c r="C15" s="329" t="s">
        <v>485</v>
      </c>
      <c r="D15" s="322"/>
      <c r="E15" s="322"/>
      <c r="F15" s="328" t="s">
        <v>29</v>
      </c>
      <c r="G15" s="1044">
        <f>+'EXHIBIT C'!H13+'EXHIBIT C(2)'!E16</f>
        <v>178582</v>
      </c>
      <c r="H15" s="315"/>
    </row>
    <row r="16" spans="1:8" ht="19.899999999999999" customHeight="1">
      <c r="A16" s="968" t="s">
        <v>7</v>
      </c>
      <c r="B16" s="322"/>
      <c r="C16" s="329" t="s">
        <v>484</v>
      </c>
      <c r="D16" s="322"/>
      <c r="E16" s="322"/>
      <c r="F16" s="328" t="s">
        <v>30</v>
      </c>
      <c r="G16" s="1045">
        <f>+'EXHIBIT C'!H14+'EXHIBIT C(2)'!E17</f>
        <v>40479</v>
      </c>
      <c r="H16" s="315"/>
    </row>
    <row r="17" spans="1:8" ht="19.899999999999999" customHeight="1">
      <c r="A17" s="968" t="s">
        <v>7</v>
      </c>
      <c r="B17" s="322"/>
      <c r="C17" s="315" t="s">
        <v>246</v>
      </c>
      <c r="D17" s="322"/>
      <c r="E17" s="322"/>
      <c r="F17" s="331">
        <v>40160</v>
      </c>
      <c r="G17" s="1045">
        <f>+'EXHIBIT C'!H15+'EXHIBIT C(2)'!E18</f>
        <v>0</v>
      </c>
      <c r="H17" s="315"/>
    </row>
    <row r="18" spans="1:8" ht="19.899999999999999" customHeight="1">
      <c r="A18" s="968"/>
      <c r="B18" s="322"/>
      <c r="C18" s="322"/>
      <c r="D18" s="322"/>
      <c r="E18" s="322"/>
      <c r="F18" s="328"/>
      <c r="G18" s="330"/>
      <c r="H18" s="315"/>
    </row>
    <row r="19" spans="1:8" ht="19.899999999999999" customHeight="1">
      <c r="A19" s="970" t="s">
        <v>571</v>
      </c>
      <c r="B19" s="322"/>
      <c r="C19" s="322"/>
      <c r="D19" s="322"/>
      <c r="E19" s="322"/>
      <c r="F19" s="328"/>
      <c r="G19" s="971">
        <f>SUM(G12:G17)</f>
        <v>1691028</v>
      </c>
      <c r="H19" s="315"/>
    </row>
    <row r="20" spans="1:8" ht="19.899999999999999" customHeight="1">
      <c r="A20" s="968"/>
      <c r="B20" s="322"/>
      <c r="C20" s="322"/>
      <c r="D20" s="322"/>
      <c r="E20" s="322"/>
      <c r="F20" s="328"/>
      <c r="G20" s="332"/>
      <c r="H20" s="315"/>
    </row>
    <row r="21" spans="1:8" ht="19.899999999999999" customHeight="1">
      <c r="A21" s="969" t="s">
        <v>376</v>
      </c>
      <c r="B21" s="325"/>
      <c r="C21" s="325" t="s">
        <v>436</v>
      </c>
      <c r="D21" s="325"/>
      <c r="E21" s="325"/>
      <c r="F21" s="326">
        <v>40301</v>
      </c>
      <c r="G21" s="333">
        <f>+'EXHIBIT C'!F19+'EXHIBIT C(2)'!E22</f>
        <v>0</v>
      </c>
      <c r="H21" s="1058"/>
    </row>
    <row r="22" spans="1:8" ht="19.899999999999999" customHeight="1">
      <c r="A22" s="969" t="s">
        <v>376</v>
      </c>
      <c r="B22" s="322"/>
      <c r="C22" s="315" t="s">
        <v>338</v>
      </c>
      <c r="D22" s="322"/>
      <c r="E22" s="322"/>
      <c r="F22" s="328" t="s">
        <v>34</v>
      </c>
      <c r="G22" s="333">
        <f>+'EXHIBIT C'!F20+'EXHIBIT C(2)'!E23</f>
        <v>260002</v>
      </c>
      <c r="H22" s="315"/>
    </row>
    <row r="23" spans="1:8" ht="19.899999999999999" customHeight="1">
      <c r="A23" s="969" t="s">
        <v>376</v>
      </c>
      <c r="B23" s="322"/>
      <c r="C23" s="322" t="s">
        <v>27</v>
      </c>
      <c r="D23" s="322"/>
      <c r="E23" s="322"/>
      <c r="F23" s="328" t="s">
        <v>35</v>
      </c>
      <c r="G23" s="338">
        <f>+'EXHIBIT C'!F21+'EXHIBIT C(2)'!E24</f>
        <v>192456</v>
      </c>
      <c r="H23" s="315"/>
    </row>
    <row r="24" spans="1:8" ht="19.899999999999999" customHeight="1">
      <c r="A24" s="969" t="s">
        <v>376</v>
      </c>
      <c r="B24" s="322"/>
      <c r="C24" s="329" t="s">
        <v>485</v>
      </c>
      <c r="D24" s="322"/>
      <c r="E24" s="322"/>
      <c r="F24" s="328" t="s">
        <v>36</v>
      </c>
      <c r="G24" s="338">
        <f>+'EXHIBIT C'!F22+'EXHIBIT C(2)'!E25</f>
        <v>26863</v>
      </c>
      <c r="H24" s="315"/>
    </row>
    <row r="25" spans="1:8" ht="19.899999999999999" customHeight="1">
      <c r="A25" s="969" t="s">
        <v>376</v>
      </c>
      <c r="B25" s="322"/>
      <c r="C25" s="329" t="s">
        <v>484</v>
      </c>
      <c r="D25" s="322"/>
      <c r="E25" s="322"/>
      <c r="F25" s="328" t="s">
        <v>37</v>
      </c>
      <c r="G25" s="338">
        <f>+'EXHIBIT C'!F23+'EXHIBIT C(2)'!E26</f>
        <v>14651</v>
      </c>
      <c r="H25" s="315"/>
    </row>
    <row r="26" spans="1:8" ht="19.899999999999999" customHeight="1">
      <c r="A26" s="969" t="s">
        <v>376</v>
      </c>
      <c r="B26" s="322"/>
      <c r="C26" s="315" t="s">
        <v>246</v>
      </c>
      <c r="D26" s="322"/>
      <c r="E26" s="322"/>
      <c r="F26" s="331">
        <v>40360</v>
      </c>
      <c r="G26" s="338">
        <f>+'EXHIBIT C'!F24+'EXHIBIT C(2)'!E27</f>
        <v>0</v>
      </c>
      <c r="H26" s="315"/>
    </row>
    <row r="27" spans="1:8" ht="19.899999999999999" customHeight="1">
      <c r="A27" s="968"/>
      <c r="B27" s="322"/>
      <c r="C27" s="322"/>
      <c r="D27" s="322"/>
      <c r="E27" s="322"/>
      <c r="F27" s="328"/>
      <c r="G27" s="334"/>
      <c r="H27" s="315"/>
    </row>
    <row r="28" spans="1:8" ht="19.899999999999999" customHeight="1">
      <c r="A28" s="970" t="s">
        <v>536</v>
      </c>
      <c r="B28" s="322"/>
      <c r="C28" s="322"/>
      <c r="D28" s="322"/>
      <c r="E28" s="322"/>
      <c r="F28" s="328"/>
      <c r="G28" s="972">
        <f>SUM(G21:G26)</f>
        <v>493972</v>
      </c>
      <c r="H28" s="315"/>
    </row>
    <row r="29" spans="1:8" ht="19.899999999999999" customHeight="1">
      <c r="A29" s="968"/>
      <c r="B29" s="322"/>
      <c r="C29" s="322"/>
      <c r="D29" s="322"/>
      <c r="E29" s="322"/>
      <c r="F29" s="328"/>
      <c r="G29" s="335"/>
      <c r="H29" s="315"/>
    </row>
    <row r="30" spans="1:8" ht="19.899999999999999" customHeight="1">
      <c r="A30" s="968" t="s">
        <v>520</v>
      </c>
      <c r="B30" s="322"/>
      <c r="C30" s="1132" t="s">
        <v>31</v>
      </c>
      <c r="D30" s="1132"/>
      <c r="E30" s="1132"/>
      <c r="F30" s="328" t="s">
        <v>32</v>
      </c>
      <c r="G30" s="336">
        <f>'EXHIBIT C'!H32</f>
        <v>0</v>
      </c>
      <c r="H30" s="315"/>
    </row>
    <row r="31" spans="1:8" ht="19.899999999999999" customHeight="1">
      <c r="A31" s="968" t="s">
        <v>520</v>
      </c>
      <c r="B31" s="322"/>
      <c r="C31" s="315" t="s">
        <v>454</v>
      </c>
      <c r="D31" s="322"/>
      <c r="E31" s="322"/>
      <c r="F31" s="328" t="s">
        <v>33</v>
      </c>
      <c r="G31" s="336">
        <f>'EXHIBIT C'!H33</f>
        <v>0</v>
      </c>
      <c r="H31" s="315"/>
    </row>
    <row r="32" spans="1:8" ht="19.899999999999999" customHeight="1">
      <c r="A32" s="968" t="s">
        <v>521</v>
      </c>
      <c r="B32" s="322"/>
      <c r="C32" s="322" t="s">
        <v>31</v>
      </c>
      <c r="D32" s="322"/>
      <c r="E32" s="322"/>
      <c r="F32" s="328" t="s">
        <v>32</v>
      </c>
      <c r="G32" s="336">
        <f>'EXHIBIT C'!H34</f>
        <v>0</v>
      </c>
      <c r="H32" s="315"/>
    </row>
    <row r="33" spans="1:8" ht="19.899999999999999" customHeight="1">
      <c r="A33" s="968" t="s">
        <v>521</v>
      </c>
      <c r="B33" s="322"/>
      <c r="C33" s="315" t="s">
        <v>454</v>
      </c>
      <c r="D33" s="322"/>
      <c r="E33" s="322"/>
      <c r="F33" s="328" t="s">
        <v>33</v>
      </c>
      <c r="G33" s="336">
        <f>'EXHIBIT C'!H35</f>
        <v>0</v>
      </c>
      <c r="H33" s="315"/>
    </row>
    <row r="34" spans="1:8" ht="19.899999999999999" customHeight="1">
      <c r="A34" s="968"/>
      <c r="B34" s="322"/>
      <c r="C34" s="322"/>
      <c r="D34" s="322"/>
      <c r="E34" s="322"/>
      <c r="F34" s="328"/>
      <c r="G34" s="337"/>
      <c r="H34" s="315"/>
    </row>
    <row r="35" spans="1:8" ht="19.899999999999999" customHeight="1">
      <c r="A35" s="970" t="s">
        <v>522</v>
      </c>
      <c r="B35" s="322"/>
      <c r="C35" s="322"/>
      <c r="D35" s="322"/>
      <c r="E35" s="322"/>
      <c r="F35" s="328"/>
      <c r="G35" s="972">
        <f>SUM(G30:G33)</f>
        <v>0</v>
      </c>
      <c r="H35" s="315"/>
    </row>
    <row r="36" spans="1:8" ht="19.899999999999999" customHeight="1">
      <c r="A36" s="968"/>
      <c r="B36" s="322"/>
      <c r="C36" s="322"/>
      <c r="D36" s="322"/>
      <c r="E36" s="322"/>
      <c r="F36" s="328"/>
      <c r="G36" s="334"/>
      <c r="H36" s="315"/>
    </row>
    <row r="37" spans="1:8" ht="19.899999999999999" customHeight="1">
      <c r="A37" s="968" t="s">
        <v>533</v>
      </c>
      <c r="B37" s="322"/>
      <c r="C37" s="322" t="s">
        <v>31</v>
      </c>
      <c r="D37" s="322"/>
      <c r="E37" s="322"/>
      <c r="F37" s="328" t="s">
        <v>38</v>
      </c>
      <c r="G37" s="338">
        <f>'EXHIBIT C'!F39</f>
        <v>0</v>
      </c>
      <c r="H37" s="315"/>
    </row>
    <row r="38" spans="1:8" ht="19.899999999999999" customHeight="1">
      <c r="A38" s="968" t="s">
        <v>533</v>
      </c>
      <c r="B38" s="322"/>
      <c r="C38" s="1133" t="s">
        <v>454</v>
      </c>
      <c r="D38" s="1133"/>
      <c r="E38" s="1133"/>
      <c r="F38" s="328" t="s">
        <v>39</v>
      </c>
      <c r="G38" s="338">
        <f>'EXHIBIT C'!F40</f>
        <v>0</v>
      </c>
      <c r="H38" s="315"/>
    </row>
    <row r="39" spans="1:8" ht="19.899999999999999" customHeight="1">
      <c r="A39" s="968" t="s">
        <v>534</v>
      </c>
      <c r="B39" s="322"/>
      <c r="C39" s="322" t="s">
        <v>31</v>
      </c>
      <c r="D39" s="322"/>
      <c r="E39" s="322"/>
      <c r="F39" s="328" t="s">
        <v>38</v>
      </c>
      <c r="G39" s="338">
        <f>'EXHIBIT C'!F41</f>
        <v>0</v>
      </c>
      <c r="H39" s="315"/>
    </row>
    <row r="40" spans="1:8" ht="19.899999999999999" customHeight="1">
      <c r="A40" s="968" t="s">
        <v>534</v>
      </c>
      <c r="B40" s="322"/>
      <c r="C40" s="1133" t="s">
        <v>454</v>
      </c>
      <c r="D40" s="1133"/>
      <c r="E40" s="1133"/>
      <c r="F40" s="328" t="s">
        <v>39</v>
      </c>
      <c r="G40" s="338">
        <f>'EXHIBIT C'!F42</f>
        <v>0</v>
      </c>
      <c r="H40" s="315"/>
    </row>
    <row r="41" spans="1:8" ht="19.899999999999999" customHeight="1">
      <c r="A41" s="968"/>
      <c r="B41" s="322"/>
      <c r="C41" s="322"/>
      <c r="D41" s="322"/>
      <c r="E41" s="322"/>
      <c r="F41" s="328"/>
      <c r="G41" s="334"/>
      <c r="H41" s="315"/>
    </row>
    <row r="42" spans="1:8" ht="19.899999999999999" customHeight="1">
      <c r="A42" s="970" t="s">
        <v>535</v>
      </c>
      <c r="B42" s="322"/>
      <c r="C42" s="322"/>
      <c r="D42" s="322"/>
      <c r="E42" s="322"/>
      <c r="F42" s="328"/>
      <c r="G42" s="972">
        <f>SUM(G37:G41)</f>
        <v>0</v>
      </c>
      <c r="H42" s="315"/>
    </row>
    <row r="43" spans="1:8" ht="19.899999999999999" customHeight="1">
      <c r="A43" s="968"/>
      <c r="B43" s="322"/>
      <c r="C43" s="322"/>
      <c r="D43" s="322"/>
      <c r="E43" s="322"/>
      <c r="F43" s="328"/>
      <c r="G43" s="335"/>
      <c r="H43" s="315"/>
    </row>
    <row r="44" spans="1:8" ht="19.899999999999999" customHeight="1">
      <c r="A44" s="970" t="s">
        <v>598</v>
      </c>
      <c r="B44" s="322"/>
      <c r="C44" s="322"/>
      <c r="D44" s="322"/>
      <c r="E44" s="322"/>
      <c r="F44" s="328"/>
      <c r="G44" s="339">
        <f>G19+G28+G35+G42</f>
        <v>2185000</v>
      </c>
      <c r="H44" s="315"/>
    </row>
    <row r="45" spans="1:8" ht="19.899999999999999" customHeight="1">
      <c r="A45" s="968"/>
      <c r="B45" s="322"/>
      <c r="C45" s="322"/>
      <c r="D45" s="322"/>
      <c r="E45" s="322"/>
      <c r="F45" s="328"/>
      <c r="G45" s="334"/>
      <c r="H45" s="315"/>
    </row>
    <row r="46" spans="1:8" ht="19.899999999999999" customHeight="1">
      <c r="A46" s="968" t="s">
        <v>48</v>
      </c>
      <c r="B46" s="322"/>
      <c r="C46" s="322"/>
      <c r="D46" s="322"/>
      <c r="E46" s="322"/>
      <c r="F46" s="328" t="s">
        <v>49</v>
      </c>
      <c r="G46" s="847">
        <v>0</v>
      </c>
      <c r="H46" s="315"/>
    </row>
    <row r="47" spans="1:8" ht="19.899999999999999" customHeight="1">
      <c r="A47" s="968" t="s">
        <v>429</v>
      </c>
      <c r="B47" s="340"/>
      <c r="C47" s="340"/>
      <c r="D47" s="340"/>
      <c r="E47" s="340"/>
      <c r="F47" s="341" t="s">
        <v>435</v>
      </c>
      <c r="G47" s="847">
        <v>148000</v>
      </c>
      <c r="H47" s="1058"/>
    </row>
    <row r="48" spans="1:8" ht="19.899999999999999" customHeight="1">
      <c r="A48" s="968" t="s">
        <v>486</v>
      </c>
      <c r="B48" s="315"/>
      <c r="C48" s="340"/>
      <c r="D48" s="340"/>
      <c r="E48" s="340"/>
      <c r="F48" s="341" t="s">
        <v>457</v>
      </c>
      <c r="G48" s="847">
        <v>0</v>
      </c>
      <c r="H48" s="1058"/>
    </row>
    <row r="49" spans="1:8" ht="19.899999999999999" customHeight="1">
      <c r="A49" s="968" t="s">
        <v>50</v>
      </c>
      <c r="B49" s="322"/>
      <c r="C49" s="322"/>
      <c r="D49" s="322"/>
      <c r="E49" s="322"/>
      <c r="F49" s="342" t="s">
        <v>51</v>
      </c>
      <c r="G49" s="847">
        <v>52500</v>
      </c>
      <c r="H49" s="315"/>
    </row>
    <row r="50" spans="1:8" ht="19.899999999999999" customHeight="1">
      <c r="A50" s="968" t="s">
        <v>487</v>
      </c>
      <c r="B50" s="322"/>
      <c r="C50" s="322"/>
      <c r="D50" s="322"/>
      <c r="E50" s="322"/>
      <c r="F50" s="342" t="s">
        <v>52</v>
      </c>
      <c r="G50" s="847">
        <v>873618</v>
      </c>
      <c r="H50" s="315"/>
    </row>
    <row r="51" spans="1:8" ht="19.899999999999999" customHeight="1">
      <c r="A51" s="968" t="s">
        <v>488</v>
      </c>
      <c r="B51" s="322"/>
      <c r="C51" s="322"/>
      <c r="D51" s="322"/>
      <c r="E51" s="322"/>
      <c r="F51" s="326">
        <v>40450</v>
      </c>
      <c r="G51" s="847">
        <v>0</v>
      </c>
      <c r="H51" s="315"/>
    </row>
    <row r="52" spans="1:8" ht="19.899999999999999" customHeight="1">
      <c r="A52" s="968" t="s">
        <v>53</v>
      </c>
      <c r="B52" s="322"/>
      <c r="C52" s="322"/>
      <c r="D52" s="322"/>
      <c r="E52" s="322"/>
      <c r="F52" s="342" t="s">
        <v>54</v>
      </c>
      <c r="G52" s="847">
        <v>27000</v>
      </c>
      <c r="H52" s="315"/>
    </row>
    <row r="53" spans="1:8" ht="19.899999999999999" customHeight="1">
      <c r="A53" s="969" t="s">
        <v>432</v>
      </c>
      <c r="B53" s="325"/>
      <c r="C53" s="325"/>
      <c r="D53" s="325"/>
      <c r="E53" s="325"/>
      <c r="F53" s="341" t="s">
        <v>431</v>
      </c>
      <c r="G53" s="847">
        <v>0</v>
      </c>
      <c r="H53" s="315"/>
    </row>
    <row r="54" spans="1:8" ht="19.899999999999999" customHeight="1">
      <c r="A54" s="969" t="s">
        <v>55</v>
      </c>
      <c r="B54" s="325"/>
      <c r="C54" s="325"/>
      <c r="D54" s="325"/>
      <c r="E54" s="325"/>
      <c r="F54" s="342" t="s">
        <v>56</v>
      </c>
      <c r="G54" s="847">
        <v>6000</v>
      </c>
      <c r="H54" s="315"/>
    </row>
    <row r="55" spans="1:8" ht="19.899999999999999" customHeight="1">
      <c r="A55" s="969" t="s">
        <v>433</v>
      </c>
      <c r="B55" s="325"/>
      <c r="C55" s="325"/>
      <c r="D55" s="325"/>
      <c r="E55" s="325"/>
      <c r="F55" s="341" t="s">
        <v>434</v>
      </c>
      <c r="G55" s="847">
        <v>0</v>
      </c>
      <c r="H55" s="315"/>
    </row>
    <row r="56" spans="1:8" ht="19.899999999999999" customHeight="1">
      <c r="A56" s="969" t="s">
        <v>57</v>
      </c>
      <c r="B56" s="325"/>
      <c r="C56" s="325"/>
      <c r="D56" s="325"/>
      <c r="E56" s="325"/>
      <c r="F56" s="342" t="s">
        <v>58</v>
      </c>
      <c r="G56" s="847">
        <v>4900</v>
      </c>
      <c r="H56" s="315"/>
    </row>
    <row r="57" spans="1:8" ht="19.899999999999999" customHeight="1">
      <c r="A57" s="969" t="s">
        <v>59</v>
      </c>
      <c r="B57" s="325"/>
      <c r="C57" s="325"/>
      <c r="D57" s="325"/>
      <c r="E57" s="325"/>
      <c r="F57" s="342" t="s">
        <v>60</v>
      </c>
      <c r="G57" s="847">
        <v>0</v>
      </c>
      <c r="H57" s="315"/>
    </row>
    <row r="58" spans="1:8" ht="19.899999999999999" customHeight="1">
      <c r="A58" s="969" t="s">
        <v>61</v>
      </c>
      <c r="B58" s="325"/>
      <c r="C58" s="325"/>
      <c r="D58" s="325"/>
      <c r="E58" s="325"/>
      <c r="F58" s="343" t="s">
        <v>62</v>
      </c>
      <c r="G58" s="847">
        <v>117188</v>
      </c>
      <c r="H58" s="315"/>
    </row>
    <row r="59" spans="1:8" ht="19.899999999999999" customHeight="1">
      <c r="A59" s="969" t="s">
        <v>63</v>
      </c>
      <c r="B59" s="325"/>
      <c r="C59" s="325"/>
      <c r="D59" s="325"/>
      <c r="E59" s="325"/>
      <c r="F59" s="342" t="s">
        <v>64</v>
      </c>
      <c r="G59" s="847">
        <v>20000</v>
      </c>
      <c r="H59" s="315"/>
    </row>
    <row r="60" spans="1:8" ht="19.899999999999999" customHeight="1">
      <c r="A60" s="969" t="s">
        <v>489</v>
      </c>
      <c r="B60" s="325"/>
      <c r="C60" s="325"/>
      <c r="D60" s="325"/>
      <c r="E60" s="325"/>
      <c r="F60" s="341" t="s">
        <v>460</v>
      </c>
      <c r="G60" s="847">
        <v>0</v>
      </c>
      <c r="H60" s="315"/>
    </row>
    <row r="61" spans="1:8" ht="19.899999999999999" customHeight="1">
      <c r="A61" s="969" t="s">
        <v>437</v>
      </c>
      <c r="B61" s="325"/>
      <c r="C61" s="325"/>
      <c r="D61" s="325"/>
      <c r="E61" s="325"/>
      <c r="F61" s="341" t="s">
        <v>430</v>
      </c>
      <c r="G61" s="847">
        <v>0</v>
      </c>
      <c r="H61" s="315"/>
    </row>
    <row r="62" spans="1:8" ht="19.899999999999999" customHeight="1">
      <c r="A62" s="968"/>
      <c r="B62" s="322"/>
      <c r="C62" s="322"/>
      <c r="D62" s="322"/>
      <c r="E62" s="322"/>
      <c r="F62" s="328"/>
      <c r="G62" s="973"/>
      <c r="H62" s="315"/>
    </row>
    <row r="63" spans="1:8" ht="19.899999999999999" customHeight="1">
      <c r="A63" s="970" t="s">
        <v>236</v>
      </c>
      <c r="B63" s="322"/>
      <c r="C63" s="322"/>
      <c r="D63" s="322"/>
      <c r="E63" s="322"/>
      <c r="F63" s="328"/>
      <c r="G63" s="974">
        <f>SUM(G44:G61)</f>
        <v>3434206</v>
      </c>
      <c r="H63" s="315"/>
    </row>
    <row r="64" spans="1:8" ht="19.899999999999999" customHeight="1">
      <c r="A64" s="968"/>
      <c r="B64" s="322"/>
      <c r="C64" s="322"/>
      <c r="D64" s="322"/>
      <c r="E64" s="322"/>
      <c r="F64" s="328"/>
      <c r="G64" s="334"/>
      <c r="H64" s="315"/>
    </row>
    <row r="65" spans="1:8" ht="19.899999999999999" customHeight="1">
      <c r="A65" s="1134" t="s">
        <v>65</v>
      </c>
      <c r="B65" s="1135"/>
      <c r="C65" s="1135"/>
      <c r="D65" s="1135"/>
      <c r="E65" s="1135"/>
      <c r="F65" s="1136"/>
      <c r="G65" s="975"/>
      <c r="H65" s="315"/>
    </row>
    <row r="66" spans="1:8" ht="19.899999999999999" customHeight="1">
      <c r="A66" s="968"/>
      <c r="B66" s="322"/>
      <c r="C66" s="322"/>
      <c r="D66" s="322"/>
      <c r="E66" s="322"/>
      <c r="F66" s="328"/>
      <c r="G66" s="334"/>
      <c r="H66" s="315"/>
    </row>
    <row r="67" spans="1:8" ht="19.899999999999999" customHeight="1">
      <c r="A67" s="968" t="s">
        <v>490</v>
      </c>
      <c r="B67" s="322"/>
      <c r="C67" s="322"/>
      <c r="D67" s="322"/>
      <c r="E67" s="322"/>
      <c r="F67" s="328" t="s">
        <v>66</v>
      </c>
      <c r="G67" s="847">
        <v>0</v>
      </c>
      <c r="H67" s="315"/>
    </row>
    <row r="68" spans="1:8" ht="19.899999999999999" customHeight="1">
      <c r="A68" s="968" t="s">
        <v>491</v>
      </c>
      <c r="B68" s="322"/>
      <c r="C68" s="322"/>
      <c r="D68" s="322"/>
      <c r="E68" s="322"/>
      <c r="F68" s="328" t="s">
        <v>67</v>
      </c>
      <c r="G68" s="847">
        <v>63000</v>
      </c>
      <c r="H68" s="315"/>
    </row>
    <row r="69" spans="1:8" ht="19.899999999999999" customHeight="1">
      <c r="A69" s="968" t="s">
        <v>278</v>
      </c>
      <c r="B69" s="322"/>
      <c r="C69" s="322"/>
      <c r="D69" s="322"/>
      <c r="E69" s="322"/>
      <c r="F69" s="328" t="s">
        <v>68</v>
      </c>
      <c r="G69" s="847">
        <v>0</v>
      </c>
      <c r="H69" s="315"/>
    </row>
    <row r="70" spans="1:8" ht="19.899999999999999" customHeight="1">
      <c r="A70" s="968"/>
      <c r="B70" s="322"/>
      <c r="C70" s="322"/>
      <c r="D70" s="322"/>
      <c r="E70" s="322"/>
      <c r="F70" s="328"/>
      <c r="G70" s="976"/>
      <c r="H70" s="315"/>
    </row>
    <row r="71" spans="1:8" ht="19.899999999999999" customHeight="1">
      <c r="A71" s="970" t="s">
        <v>237</v>
      </c>
      <c r="B71" s="322"/>
      <c r="C71" s="322"/>
      <c r="D71" s="322"/>
      <c r="E71" s="322"/>
      <c r="F71" s="328"/>
      <c r="G71" s="373">
        <f>SUM(G67:G69)</f>
        <v>63000</v>
      </c>
      <c r="H71" s="315"/>
    </row>
    <row r="72" spans="1:8" ht="19.899999999999999" customHeight="1">
      <c r="A72" s="977"/>
      <c r="B72" s="978"/>
      <c r="C72" s="978"/>
      <c r="D72" s="978"/>
      <c r="E72" s="978"/>
      <c r="F72" s="979"/>
      <c r="G72" s="980"/>
      <c r="H72" s="315"/>
    </row>
    <row r="73" spans="1:8" ht="19.899999999999999" customHeight="1">
      <c r="A73" s="1134" t="s">
        <v>69</v>
      </c>
      <c r="B73" s="1135"/>
      <c r="C73" s="1135"/>
      <c r="D73" s="1135"/>
      <c r="E73" s="1135"/>
      <c r="F73" s="1136"/>
      <c r="G73" s="981"/>
      <c r="H73" s="315"/>
    </row>
    <row r="74" spans="1:8" ht="19.899999999999999" customHeight="1">
      <c r="A74" s="968"/>
      <c r="B74" s="322"/>
      <c r="C74" s="322"/>
      <c r="D74" s="322"/>
      <c r="E74" s="322"/>
      <c r="F74" s="328"/>
      <c r="G74" s="344"/>
      <c r="H74" s="315"/>
    </row>
    <row r="75" spans="1:8" ht="19.899999999999999" customHeight="1">
      <c r="A75" s="968" t="s">
        <v>492</v>
      </c>
      <c r="B75" s="322"/>
      <c r="C75" s="322"/>
      <c r="D75" s="322"/>
      <c r="E75" s="322"/>
      <c r="F75" s="328" t="s">
        <v>0</v>
      </c>
      <c r="G75" s="1046">
        <f>'CHECK SHEET'!D102</f>
        <v>6467490</v>
      </c>
      <c r="H75" s="315"/>
    </row>
    <row r="76" spans="1:8" ht="19.899999999999999" customHeight="1">
      <c r="A76" s="968" t="s">
        <v>279</v>
      </c>
      <c r="B76" s="322"/>
      <c r="C76" s="322"/>
      <c r="D76" s="322"/>
      <c r="E76" s="322"/>
      <c r="F76" s="331">
        <v>42130</v>
      </c>
      <c r="G76" s="1047"/>
      <c r="H76" s="315"/>
    </row>
    <row r="77" spans="1:8" ht="19.899999999999999" customHeight="1">
      <c r="A77" s="982" t="s">
        <v>595</v>
      </c>
      <c r="B77" s="983"/>
      <c r="C77" s="983"/>
      <c r="D77" s="983"/>
      <c r="E77" s="983"/>
      <c r="F77" s="345" t="s">
        <v>1</v>
      </c>
      <c r="G77" s="1048">
        <v>215061</v>
      </c>
      <c r="H77" s="315"/>
    </row>
    <row r="78" spans="1:8" ht="19.899999999999999" customHeight="1">
      <c r="A78" s="982" t="s">
        <v>280</v>
      </c>
      <c r="B78" s="983"/>
      <c r="C78" s="983"/>
      <c r="D78" s="983"/>
      <c r="E78" s="983"/>
      <c r="F78" s="345" t="s">
        <v>70</v>
      </c>
      <c r="G78" s="1047">
        <v>0</v>
      </c>
      <c r="H78" s="315"/>
    </row>
    <row r="79" spans="1:8" ht="19.899999999999999" customHeight="1">
      <c r="A79" s="968" t="s">
        <v>494</v>
      </c>
      <c r="B79" s="322"/>
      <c r="C79" s="322"/>
      <c r="D79" s="322"/>
      <c r="E79" s="322"/>
      <c r="F79" s="328" t="s">
        <v>71</v>
      </c>
      <c r="G79" s="1047">
        <v>500</v>
      </c>
      <c r="H79" s="315"/>
    </row>
    <row r="80" spans="1:8" ht="19.899999999999999" customHeight="1">
      <c r="A80" s="968" t="s">
        <v>596</v>
      </c>
      <c r="B80" s="322"/>
      <c r="C80" s="322"/>
      <c r="D80" s="322"/>
      <c r="E80" s="322"/>
      <c r="F80" s="328" t="s">
        <v>72</v>
      </c>
      <c r="G80" s="1047">
        <v>65000</v>
      </c>
      <c r="H80" s="315"/>
    </row>
    <row r="81" spans="1:10" ht="19.899999999999999" customHeight="1">
      <c r="A81" s="968" t="s">
        <v>601</v>
      </c>
      <c r="B81" s="322"/>
      <c r="C81" s="322"/>
      <c r="D81" s="322"/>
      <c r="E81" s="322"/>
      <c r="F81" s="328" t="s">
        <v>73</v>
      </c>
      <c r="G81" s="1046">
        <f>'CHECK SHEET'!D104</f>
        <v>863241</v>
      </c>
      <c r="H81" s="315"/>
    </row>
    <row r="82" spans="1:10" ht="19.899999999999999" customHeight="1">
      <c r="A82" s="984" t="s">
        <v>493</v>
      </c>
      <c r="B82" s="985"/>
      <c r="C82" s="985"/>
      <c r="D82" s="985"/>
      <c r="E82" s="985"/>
      <c r="F82" s="344" t="s">
        <v>74</v>
      </c>
      <c r="G82" s="1047">
        <v>0</v>
      </c>
      <c r="H82" s="315"/>
    </row>
    <row r="83" spans="1:10" ht="19.899999999999999" customHeight="1">
      <c r="A83" s="968" t="s">
        <v>281</v>
      </c>
      <c r="B83" s="322"/>
      <c r="C83" s="322"/>
      <c r="D83" s="322"/>
      <c r="E83" s="322"/>
      <c r="F83" s="328" t="s">
        <v>75</v>
      </c>
      <c r="G83" s="1047">
        <v>2999</v>
      </c>
      <c r="H83" s="315"/>
    </row>
    <row r="84" spans="1:10" ht="19.899999999999999" customHeight="1">
      <c r="A84" s="968"/>
      <c r="B84" s="322"/>
      <c r="C84" s="322"/>
      <c r="D84" s="322"/>
      <c r="E84" s="322"/>
      <c r="F84" s="328"/>
      <c r="G84" s="986"/>
      <c r="H84" s="315"/>
    </row>
    <row r="85" spans="1:10" ht="19.899999999999999" customHeight="1">
      <c r="A85" s="970" t="s">
        <v>238</v>
      </c>
      <c r="B85" s="322"/>
      <c r="C85" s="322"/>
      <c r="D85" s="322"/>
      <c r="E85" s="322"/>
      <c r="F85" s="328"/>
      <c r="G85" s="374">
        <f>SUM(G75:G83)</f>
        <v>7614291</v>
      </c>
      <c r="H85" s="315"/>
    </row>
    <row r="86" spans="1:10" ht="19.899999999999999" customHeight="1">
      <c r="A86" s="977"/>
      <c r="B86" s="978"/>
      <c r="C86" s="978"/>
      <c r="D86" s="978"/>
      <c r="E86" s="978"/>
      <c r="F86" s="979"/>
      <c r="G86" s="980"/>
      <c r="H86" s="315"/>
    </row>
    <row r="87" spans="1:10" ht="19.899999999999999" customHeight="1">
      <c r="A87" s="1137" t="s">
        <v>76</v>
      </c>
      <c r="B87" s="1138"/>
      <c r="C87" s="1138"/>
      <c r="D87" s="1138"/>
      <c r="E87" s="1138"/>
      <c r="F87" s="1139"/>
      <c r="G87" s="981"/>
      <c r="H87" s="315"/>
    </row>
    <row r="88" spans="1:10" ht="19.899999999999999" customHeight="1">
      <c r="A88" s="968"/>
      <c r="B88" s="322"/>
      <c r="C88" s="322"/>
      <c r="D88" s="322"/>
      <c r="E88" s="322"/>
      <c r="F88" s="328"/>
      <c r="G88" s="344"/>
      <c r="H88" s="315"/>
    </row>
    <row r="89" spans="1:10" ht="19.899999999999999" customHeight="1">
      <c r="A89" s="968" t="s">
        <v>282</v>
      </c>
      <c r="B89" s="322"/>
      <c r="C89" s="322"/>
      <c r="D89" s="322"/>
      <c r="E89" s="322"/>
      <c r="F89" s="328" t="s">
        <v>77</v>
      </c>
      <c r="G89" s="939">
        <v>0</v>
      </c>
      <c r="H89" s="315"/>
    </row>
    <row r="90" spans="1:10" ht="19.899999999999999" customHeight="1">
      <c r="A90" s="969" t="s">
        <v>283</v>
      </c>
      <c r="B90" s="325"/>
      <c r="C90" s="325"/>
      <c r="D90" s="325"/>
      <c r="E90" s="325"/>
      <c r="F90" s="326">
        <v>43518</v>
      </c>
      <c r="G90" s="1049">
        <v>0</v>
      </c>
      <c r="H90" s="315"/>
      <c r="J90" s="346"/>
    </row>
    <row r="91" spans="1:10" ht="19.899999999999999" customHeight="1">
      <c r="A91" s="969" t="s">
        <v>284</v>
      </c>
      <c r="B91" s="325"/>
      <c r="C91" s="325"/>
      <c r="D91" s="325"/>
      <c r="E91" s="325"/>
      <c r="F91" s="326">
        <v>43519</v>
      </c>
      <c r="G91" s="1049">
        <v>0</v>
      </c>
      <c r="H91" s="315"/>
    </row>
    <row r="92" spans="1:10" ht="19.899999999999999" customHeight="1">
      <c r="A92" s="968" t="s">
        <v>285</v>
      </c>
      <c r="B92" s="322"/>
      <c r="C92" s="322"/>
      <c r="D92" s="322"/>
      <c r="E92" s="322"/>
      <c r="F92" s="328" t="s">
        <v>78</v>
      </c>
      <c r="G92" s="847">
        <v>32318</v>
      </c>
      <c r="H92" s="315"/>
    </row>
    <row r="93" spans="1:10" ht="19.899999999999999" customHeight="1">
      <c r="A93" s="987"/>
      <c r="B93" s="988"/>
      <c r="C93" s="988"/>
      <c r="D93" s="988"/>
      <c r="E93" s="988"/>
      <c r="F93" s="989"/>
      <c r="G93" s="990"/>
      <c r="H93" s="315"/>
    </row>
    <row r="94" spans="1:10" ht="19.899999999999999" customHeight="1">
      <c r="A94" s="970" t="s">
        <v>239</v>
      </c>
      <c r="B94" s="322"/>
      <c r="C94" s="322"/>
      <c r="D94" s="322"/>
      <c r="E94" s="322"/>
      <c r="F94" s="347"/>
      <c r="G94" s="991">
        <f>SUM(G89:G92)</f>
        <v>32318</v>
      </c>
      <c r="H94" s="315"/>
    </row>
    <row r="95" spans="1:10" ht="19.899999999999999" customHeight="1">
      <c r="A95" s="968"/>
      <c r="B95" s="322"/>
      <c r="C95" s="322"/>
      <c r="D95" s="322"/>
      <c r="E95" s="322"/>
      <c r="F95" s="328"/>
      <c r="G95" s="348"/>
      <c r="H95" s="315"/>
    </row>
    <row r="96" spans="1:10" ht="19.899999999999999" customHeight="1">
      <c r="A96" s="1140" t="s">
        <v>79</v>
      </c>
      <c r="B96" s="1141"/>
      <c r="C96" s="1141"/>
      <c r="D96" s="1141"/>
      <c r="E96" s="1141"/>
      <c r="F96" s="1142"/>
      <c r="G96" s="1043"/>
      <c r="H96" s="315"/>
    </row>
    <row r="97" spans="1:8" ht="19.899999999999999" customHeight="1">
      <c r="A97" s="968"/>
      <c r="B97" s="322"/>
      <c r="C97" s="322"/>
      <c r="D97" s="322"/>
      <c r="E97" s="322"/>
      <c r="F97" s="328"/>
      <c r="G97" s="348"/>
      <c r="H97" s="315"/>
    </row>
    <row r="98" spans="1:8" ht="19.899999999999999" customHeight="1">
      <c r="A98" s="968" t="s">
        <v>286</v>
      </c>
      <c r="B98" s="322"/>
      <c r="C98" s="322"/>
      <c r="D98" s="322"/>
      <c r="E98" s="322"/>
      <c r="F98" s="328" t="s">
        <v>80</v>
      </c>
      <c r="G98" s="850">
        <v>0</v>
      </c>
      <c r="H98" s="315"/>
    </row>
    <row r="99" spans="1:8" ht="19.899999999999999" customHeight="1">
      <c r="A99" s="968" t="s">
        <v>289</v>
      </c>
      <c r="B99" s="322"/>
      <c r="C99" s="322"/>
      <c r="D99" s="322"/>
      <c r="E99" s="322"/>
      <c r="F99" s="328" t="s">
        <v>81</v>
      </c>
      <c r="G99" s="848">
        <v>0</v>
      </c>
      <c r="H99" s="315"/>
    </row>
    <row r="100" spans="1:8" ht="19.899999999999999" customHeight="1">
      <c r="A100" s="969" t="s">
        <v>288</v>
      </c>
      <c r="B100" s="325"/>
      <c r="C100" s="325"/>
      <c r="D100" s="325"/>
      <c r="E100" s="325"/>
      <c r="F100" s="349">
        <v>44400</v>
      </c>
      <c r="G100" s="849">
        <v>216000</v>
      </c>
      <c r="H100" s="315"/>
    </row>
    <row r="101" spans="1:8" ht="19.899999999999999" customHeight="1">
      <c r="A101" s="968" t="s">
        <v>287</v>
      </c>
      <c r="B101" s="322"/>
      <c r="C101" s="322"/>
      <c r="D101" s="322"/>
      <c r="E101" s="322"/>
      <c r="F101" s="328" t="s">
        <v>82</v>
      </c>
      <c r="G101" s="848">
        <v>0</v>
      </c>
      <c r="H101" s="315"/>
    </row>
    <row r="102" spans="1:8" ht="19.899999999999999" customHeight="1">
      <c r="A102" s="968"/>
      <c r="B102" s="322"/>
      <c r="C102" s="322"/>
      <c r="D102" s="322"/>
      <c r="E102" s="322"/>
      <c r="F102" s="328"/>
      <c r="G102" s="992"/>
      <c r="H102" s="315"/>
    </row>
    <row r="103" spans="1:8" ht="19.899999999999999" customHeight="1">
      <c r="A103" s="970" t="s">
        <v>240</v>
      </c>
      <c r="B103" s="322"/>
      <c r="C103" s="322"/>
      <c r="D103" s="322"/>
      <c r="E103" s="322"/>
      <c r="F103" s="328"/>
      <c r="G103" s="991">
        <f>SUM(G98:G101)</f>
        <v>216000</v>
      </c>
      <c r="H103" s="315"/>
    </row>
    <row r="104" spans="1:8" ht="19.899999999999999" customHeight="1">
      <c r="A104" s="968"/>
      <c r="B104" s="322"/>
      <c r="C104" s="322"/>
      <c r="D104" s="322"/>
      <c r="E104" s="322"/>
      <c r="F104" s="328"/>
      <c r="G104" s="348"/>
      <c r="H104" s="315"/>
    </row>
    <row r="105" spans="1:8" ht="19.899999999999999" customHeight="1">
      <c r="A105" s="1143" t="s">
        <v>83</v>
      </c>
      <c r="B105" s="1144"/>
      <c r="C105" s="1144"/>
      <c r="D105" s="1144"/>
      <c r="E105" s="1144"/>
      <c r="F105" s="1145"/>
      <c r="G105" s="993"/>
      <c r="H105" s="315"/>
    </row>
    <row r="106" spans="1:8" ht="19.899999999999999" customHeight="1">
      <c r="A106" s="968"/>
      <c r="B106" s="322"/>
      <c r="C106" s="322"/>
      <c r="D106" s="322"/>
      <c r="E106" s="322"/>
      <c r="F106" s="328"/>
      <c r="G106" s="348"/>
      <c r="H106" s="315"/>
    </row>
    <row r="107" spans="1:8" ht="19.899999999999999" customHeight="1">
      <c r="A107" s="968" t="s">
        <v>290</v>
      </c>
      <c r="B107" s="322"/>
      <c r="C107" s="322"/>
      <c r="D107" s="322"/>
      <c r="E107" s="322"/>
      <c r="F107" s="328" t="s">
        <v>84</v>
      </c>
      <c r="G107" s="850">
        <v>800</v>
      </c>
      <c r="H107" s="315"/>
    </row>
    <row r="108" spans="1:8" ht="19.899999999999999" customHeight="1">
      <c r="A108" s="968" t="s">
        <v>291</v>
      </c>
      <c r="B108" s="322"/>
      <c r="C108" s="322"/>
      <c r="D108" s="322"/>
      <c r="E108" s="322"/>
      <c r="F108" s="328" t="s">
        <v>85</v>
      </c>
      <c r="G108" s="940">
        <v>6000</v>
      </c>
      <c r="H108" s="315"/>
    </row>
    <row r="109" spans="1:8" ht="19.899999999999999" customHeight="1">
      <c r="A109" s="968" t="s">
        <v>292</v>
      </c>
      <c r="B109" s="322"/>
      <c r="C109" s="322"/>
      <c r="D109" s="322"/>
      <c r="E109" s="322"/>
      <c r="F109" s="328" t="s">
        <v>86</v>
      </c>
      <c r="G109" s="940">
        <v>0</v>
      </c>
      <c r="H109" s="315"/>
    </row>
    <row r="110" spans="1:8" ht="19.899999999999999" customHeight="1">
      <c r="A110" s="968" t="s">
        <v>293</v>
      </c>
      <c r="B110" s="322"/>
      <c r="C110" s="322"/>
      <c r="D110" s="322"/>
      <c r="E110" s="322"/>
      <c r="F110" s="328" t="s">
        <v>87</v>
      </c>
      <c r="G110" s="940">
        <v>0</v>
      </c>
      <c r="H110" s="315"/>
    </row>
    <row r="111" spans="1:8" ht="19.899999999999999" customHeight="1">
      <c r="A111" s="968" t="s">
        <v>294</v>
      </c>
      <c r="B111" s="322"/>
      <c r="C111" s="322"/>
      <c r="D111" s="322"/>
      <c r="E111" s="322"/>
      <c r="F111" s="328" t="s">
        <v>88</v>
      </c>
      <c r="G111" s="940">
        <v>0</v>
      </c>
      <c r="H111" s="315"/>
    </row>
    <row r="112" spans="1:8" ht="19.899999999999999" customHeight="1">
      <c r="A112" s="968"/>
      <c r="B112" s="322"/>
      <c r="C112" s="322"/>
      <c r="D112" s="322"/>
      <c r="E112" s="322"/>
      <c r="F112" s="328"/>
      <c r="G112" s="994"/>
      <c r="H112" s="315"/>
    </row>
    <row r="113" spans="1:8" ht="19.899999999999999" customHeight="1">
      <c r="A113" s="995" t="s">
        <v>241</v>
      </c>
      <c r="B113" s="996"/>
      <c r="C113" s="996"/>
      <c r="D113" s="996"/>
      <c r="E113" s="996"/>
      <c r="F113" s="997"/>
      <c r="G113" s="991">
        <f>SUM(G107:G111)</f>
        <v>6800</v>
      </c>
      <c r="H113" s="315"/>
    </row>
    <row r="114" spans="1:8" ht="19.899999999999999" customHeight="1">
      <c r="A114" s="968"/>
      <c r="B114" s="322"/>
      <c r="C114" s="322"/>
      <c r="D114" s="322"/>
      <c r="E114" s="322"/>
      <c r="F114" s="998"/>
      <c r="G114" s="999"/>
      <c r="H114" s="315"/>
    </row>
    <row r="115" spans="1:8" ht="19.899999999999999" customHeight="1">
      <c r="A115" s="1000" t="s">
        <v>89</v>
      </c>
      <c r="B115" s="1001"/>
      <c r="C115" s="1001"/>
      <c r="D115" s="1001"/>
      <c r="E115" s="1001"/>
      <c r="F115" s="1002" t="s">
        <v>90</v>
      </c>
      <c r="G115" s="1003">
        <v>0</v>
      </c>
      <c r="H115" s="315"/>
    </row>
    <row r="116" spans="1:8" ht="19.899999999999999" customHeight="1">
      <c r="A116" s="1004"/>
      <c r="B116" s="315"/>
      <c r="C116" s="315"/>
      <c r="D116" s="315"/>
      <c r="E116" s="315"/>
      <c r="F116" s="350"/>
      <c r="G116" s="351"/>
      <c r="H116" s="315"/>
    </row>
    <row r="117" spans="1:8" ht="19.899999999999999" customHeight="1">
      <c r="A117" s="970" t="s">
        <v>242</v>
      </c>
      <c r="B117" s="315"/>
      <c r="C117" s="322"/>
      <c r="D117" s="322"/>
      <c r="E117" s="315"/>
      <c r="F117" s="350"/>
      <c r="G117" s="991">
        <f>G115</f>
        <v>0</v>
      </c>
      <c r="H117" s="315"/>
    </row>
    <row r="118" spans="1:8" ht="19.899999999999999" customHeight="1">
      <c r="A118" s="1004"/>
      <c r="B118" s="315"/>
      <c r="C118" s="315"/>
      <c r="D118" s="315"/>
      <c r="E118" s="315"/>
      <c r="F118" s="350"/>
      <c r="G118" s="348"/>
      <c r="H118" s="315"/>
    </row>
    <row r="119" spans="1:8" ht="19.899999999999999" customHeight="1">
      <c r="A119" s="1140" t="s">
        <v>91</v>
      </c>
      <c r="B119" s="1141"/>
      <c r="C119" s="1141"/>
      <c r="D119" s="1141"/>
      <c r="E119" s="1141"/>
      <c r="F119" s="1142"/>
      <c r="G119" s="1043"/>
      <c r="H119" s="315"/>
    </row>
    <row r="120" spans="1:8" ht="19.899999999999999" customHeight="1">
      <c r="A120" s="968"/>
      <c r="B120" s="322"/>
      <c r="C120" s="322"/>
      <c r="D120" s="322"/>
      <c r="E120" s="322"/>
      <c r="F120" s="328"/>
      <c r="G120" s="348"/>
      <c r="H120" s="315"/>
    </row>
    <row r="121" spans="1:8" ht="19.899999999999999" customHeight="1">
      <c r="A121" s="968" t="s">
        <v>295</v>
      </c>
      <c r="B121" s="322"/>
      <c r="C121" s="322"/>
      <c r="D121" s="322"/>
      <c r="E121" s="322"/>
      <c r="F121" s="328" t="s">
        <v>92</v>
      </c>
      <c r="G121" s="939">
        <v>36000</v>
      </c>
      <c r="H121" s="315"/>
    </row>
    <row r="122" spans="1:8" ht="19.899999999999999" customHeight="1">
      <c r="A122" s="968" t="s">
        <v>296</v>
      </c>
      <c r="B122" s="322"/>
      <c r="C122" s="322"/>
      <c r="D122" s="322"/>
      <c r="E122" s="322"/>
      <c r="F122" s="328" t="s">
        <v>93</v>
      </c>
      <c r="G122" s="940">
        <v>0</v>
      </c>
      <c r="H122" s="315"/>
    </row>
    <row r="123" spans="1:8" ht="19.899999999999999" customHeight="1">
      <c r="A123" s="968" t="s">
        <v>297</v>
      </c>
      <c r="B123" s="322"/>
      <c r="C123" s="322"/>
      <c r="D123" s="322"/>
      <c r="E123" s="322"/>
      <c r="F123" s="328" t="s">
        <v>94</v>
      </c>
      <c r="G123" s="940">
        <v>600</v>
      </c>
      <c r="H123" s="315"/>
    </row>
    <row r="124" spans="1:8" ht="19.899999999999999" customHeight="1">
      <c r="A124" s="968" t="s">
        <v>298</v>
      </c>
      <c r="B124" s="322"/>
      <c r="C124" s="322"/>
      <c r="D124" s="322"/>
      <c r="E124" s="322"/>
      <c r="F124" s="328" t="s">
        <v>95</v>
      </c>
      <c r="G124" s="940">
        <f>4450+5000+100000</f>
        <v>109450</v>
      </c>
      <c r="H124" s="315"/>
    </row>
    <row r="125" spans="1:8" ht="19.899999999999999" customHeight="1">
      <c r="A125" s="968"/>
      <c r="B125" s="322"/>
      <c r="C125" s="322"/>
      <c r="D125" s="322"/>
      <c r="E125" s="322"/>
      <c r="F125" s="328"/>
      <c r="G125" s="994"/>
      <c r="H125" s="315"/>
    </row>
    <row r="126" spans="1:8" ht="19.899999999999999" customHeight="1">
      <c r="A126" s="970" t="s">
        <v>243</v>
      </c>
      <c r="B126" s="322"/>
      <c r="C126" s="322"/>
      <c r="D126" s="322"/>
      <c r="E126" s="322"/>
      <c r="F126" s="328"/>
      <c r="G126" s="991">
        <f>SUM(G121:G124)</f>
        <v>146050</v>
      </c>
      <c r="H126" s="315"/>
    </row>
    <row r="127" spans="1:8" ht="19.899999999999999" customHeight="1">
      <c r="A127" s="968"/>
      <c r="B127" s="322"/>
      <c r="C127" s="322"/>
      <c r="D127" s="322"/>
      <c r="E127" s="322"/>
      <c r="F127" s="328"/>
      <c r="G127" s="348"/>
      <c r="H127" s="315"/>
    </row>
    <row r="128" spans="1:8" ht="19.899999999999999" customHeight="1">
      <c r="A128" s="1146" t="s">
        <v>96</v>
      </c>
      <c r="B128" s="1147"/>
      <c r="C128" s="1147"/>
      <c r="D128" s="1147"/>
      <c r="E128" s="1147"/>
      <c r="F128" s="1148"/>
      <c r="G128" s="1005"/>
      <c r="H128" s="315"/>
    </row>
    <row r="129" spans="1:8" ht="19.899999999999999" customHeight="1">
      <c r="A129" s="968"/>
      <c r="B129" s="322"/>
      <c r="C129" s="322"/>
      <c r="D129" s="322"/>
      <c r="E129" s="322"/>
      <c r="F129" s="328"/>
      <c r="G129" s="348"/>
      <c r="H129" s="315"/>
    </row>
    <row r="130" spans="1:8" ht="19.899999999999999" customHeight="1">
      <c r="A130" s="968" t="s">
        <v>438</v>
      </c>
      <c r="B130" s="322"/>
      <c r="C130" s="322"/>
      <c r="D130" s="1006"/>
      <c r="E130" s="1007"/>
      <c r="F130" s="345" t="s">
        <v>97</v>
      </c>
      <c r="G130" s="850">
        <v>0</v>
      </c>
      <c r="H130" s="315"/>
    </row>
    <row r="131" spans="1:8" ht="19.899999999999999" customHeight="1">
      <c r="A131" s="968" t="s">
        <v>445</v>
      </c>
      <c r="B131" s="322"/>
      <c r="C131" s="322"/>
      <c r="D131" s="1006"/>
      <c r="E131" s="1007"/>
      <c r="F131" s="345" t="s">
        <v>98</v>
      </c>
      <c r="G131" s="848">
        <v>0</v>
      </c>
      <c r="H131" s="315"/>
    </row>
    <row r="132" spans="1:8" ht="19.899999999999999" customHeight="1">
      <c r="A132" s="969" t="s">
        <v>446</v>
      </c>
      <c r="B132" s="325"/>
      <c r="C132" s="325"/>
      <c r="D132" s="1008"/>
      <c r="E132" s="340"/>
      <c r="F132" s="352">
        <v>49230</v>
      </c>
      <c r="G132" s="941">
        <v>14300</v>
      </c>
      <c r="H132" s="315"/>
    </row>
    <row r="133" spans="1:8" ht="19.899999999999999" customHeight="1">
      <c r="A133" s="969" t="s">
        <v>447</v>
      </c>
      <c r="B133" s="325"/>
      <c r="C133" s="325"/>
      <c r="D133" s="1008"/>
      <c r="E133" s="340"/>
      <c r="F133" s="352">
        <v>49240</v>
      </c>
      <c r="G133" s="848">
        <v>0</v>
      </c>
      <c r="H133" s="315"/>
    </row>
    <row r="134" spans="1:8" ht="19.899999999999999" customHeight="1">
      <c r="A134" s="968" t="s">
        <v>299</v>
      </c>
      <c r="B134" s="322"/>
      <c r="C134" s="322"/>
      <c r="D134" s="322"/>
      <c r="E134" s="322"/>
      <c r="F134" s="328" t="s">
        <v>99</v>
      </c>
      <c r="G134" s="848">
        <v>0</v>
      </c>
      <c r="H134" s="315"/>
    </row>
    <row r="135" spans="1:8" ht="19.899999999999999" customHeight="1">
      <c r="A135" s="968" t="s">
        <v>300</v>
      </c>
      <c r="B135" s="322"/>
      <c r="C135" s="322"/>
      <c r="D135" s="322"/>
      <c r="E135" s="322"/>
      <c r="F135" s="331">
        <v>49520</v>
      </c>
      <c r="G135" s="848">
        <v>0</v>
      </c>
      <c r="H135" s="315"/>
    </row>
    <row r="136" spans="1:8" ht="19.899999999999999" customHeight="1">
      <c r="A136" s="968" t="s">
        <v>301</v>
      </c>
      <c r="B136" s="322"/>
      <c r="C136" s="322"/>
      <c r="D136" s="322"/>
      <c r="E136" s="322"/>
      <c r="F136" s="328" t="s">
        <v>100</v>
      </c>
      <c r="G136" s="848">
        <v>0</v>
      </c>
      <c r="H136" s="315"/>
    </row>
    <row r="137" spans="1:8" ht="19.899999999999999" customHeight="1">
      <c r="A137" s="968" t="s">
        <v>302</v>
      </c>
      <c r="B137" s="322"/>
      <c r="C137" s="322"/>
      <c r="D137" s="322"/>
      <c r="E137" s="322"/>
      <c r="F137" s="328" t="s">
        <v>101</v>
      </c>
      <c r="G137" s="848">
        <v>0</v>
      </c>
      <c r="H137" s="315"/>
    </row>
    <row r="138" spans="1:8" ht="19.899999999999999" customHeight="1">
      <c r="A138" s="968"/>
      <c r="B138" s="322"/>
      <c r="C138" s="322"/>
      <c r="D138" s="322"/>
      <c r="E138" s="322"/>
      <c r="F138" s="328"/>
      <c r="G138" s="1009"/>
      <c r="H138" s="315"/>
    </row>
    <row r="139" spans="1:8" ht="19.899999999999999" customHeight="1">
      <c r="A139" s="970" t="s">
        <v>244</v>
      </c>
      <c r="B139" s="322"/>
      <c r="C139" s="322"/>
      <c r="D139" s="322"/>
      <c r="E139" s="322"/>
      <c r="F139" s="328"/>
      <c r="G139" s="991">
        <f>SUM(G130:G137)</f>
        <v>14300</v>
      </c>
      <c r="H139" s="315"/>
    </row>
    <row r="140" spans="1:8" ht="19.899999999999999" customHeight="1">
      <c r="A140" s="968"/>
      <c r="B140" s="322"/>
      <c r="C140" s="322"/>
      <c r="D140" s="322"/>
      <c r="E140" s="322"/>
      <c r="F140" s="328"/>
      <c r="G140" s="348"/>
      <c r="H140" s="315"/>
    </row>
    <row r="141" spans="1:8" ht="19.899999999999999" customHeight="1" thickBot="1">
      <c r="A141" s="1053" t="s">
        <v>102</v>
      </c>
      <c r="B141" s="1054"/>
      <c r="C141" s="1054"/>
      <c r="D141" s="1054"/>
      <c r="E141" s="1054"/>
      <c r="F141" s="1055"/>
      <c r="G141" s="1057">
        <f>G63+G71+G85+G94+G103+G113+G117+G126+G139</f>
        <v>11526965</v>
      </c>
      <c r="H141" s="315"/>
    </row>
    <row r="142" spans="1:8" ht="19.899999999999999" customHeight="1" thickTop="1">
      <c r="A142" s="977"/>
      <c r="B142" s="978"/>
      <c r="C142" s="978"/>
      <c r="D142" s="978"/>
      <c r="E142" s="978"/>
      <c r="F142" s="1010"/>
      <c r="G142" s="1050"/>
      <c r="H142" s="315"/>
    </row>
    <row r="143" spans="1:8" ht="19.899999999999999" customHeight="1">
      <c r="A143" s="1146" t="s">
        <v>103</v>
      </c>
      <c r="B143" s="1147"/>
      <c r="C143" s="1147"/>
      <c r="D143" s="1147"/>
      <c r="E143" s="1147"/>
      <c r="F143" s="1148"/>
      <c r="G143" s="1011"/>
      <c r="H143" s="315"/>
    </row>
    <row r="144" spans="1:8" ht="19.899999999999999" customHeight="1">
      <c r="A144" s="968"/>
      <c r="B144" s="322"/>
      <c r="C144" s="322"/>
      <c r="D144" s="322"/>
      <c r="E144" s="322"/>
      <c r="F144" s="328"/>
      <c r="G144" s="353"/>
      <c r="H144" s="315"/>
    </row>
    <row r="145" spans="1:8" ht="19.899999999999999" customHeight="1">
      <c r="A145" s="968" t="s">
        <v>303</v>
      </c>
      <c r="B145" s="322"/>
      <c r="C145" s="322"/>
      <c r="D145" s="322"/>
      <c r="E145" s="322"/>
      <c r="F145" s="328" t="s">
        <v>104</v>
      </c>
      <c r="G145" s="851">
        <v>303149</v>
      </c>
      <c r="H145" s="315"/>
    </row>
    <row r="146" spans="1:8" ht="19.899999999999999" customHeight="1">
      <c r="A146" s="968" t="s">
        <v>304</v>
      </c>
      <c r="B146" s="315"/>
      <c r="C146" s="315"/>
      <c r="D146" s="315"/>
      <c r="E146" s="315"/>
      <c r="F146" s="328" t="s">
        <v>105</v>
      </c>
      <c r="G146" s="852">
        <v>249387</v>
      </c>
      <c r="H146" s="315"/>
    </row>
    <row r="147" spans="1:8" ht="19.899999999999999" customHeight="1">
      <c r="A147" s="968" t="s">
        <v>306</v>
      </c>
      <c r="B147" s="315"/>
      <c r="C147" s="315"/>
      <c r="D147" s="315"/>
      <c r="E147" s="315"/>
      <c r="F147" s="328" t="s">
        <v>106</v>
      </c>
      <c r="G147" s="852">
        <v>512434</v>
      </c>
      <c r="H147" s="315"/>
    </row>
    <row r="148" spans="1:8" ht="19.899999999999999" customHeight="1">
      <c r="A148" s="968" t="s">
        <v>305</v>
      </c>
      <c r="B148" s="315"/>
      <c r="C148" s="315"/>
      <c r="D148" s="315"/>
      <c r="E148" s="315"/>
      <c r="F148" s="328" t="s">
        <v>107</v>
      </c>
      <c r="G148" s="852">
        <v>0</v>
      </c>
      <c r="H148" s="315"/>
    </row>
    <row r="149" spans="1:8" ht="19.899999999999999" customHeight="1">
      <c r="A149" s="968" t="s">
        <v>307</v>
      </c>
      <c r="B149" s="315"/>
      <c r="C149" s="315"/>
      <c r="D149" s="315"/>
      <c r="E149" s="315"/>
      <c r="F149" s="328" t="s">
        <v>108</v>
      </c>
      <c r="G149" s="852">
        <v>0</v>
      </c>
      <c r="H149" s="315"/>
    </row>
    <row r="150" spans="1:8" ht="19.899999999999999" customHeight="1">
      <c r="A150" s="968" t="s">
        <v>308</v>
      </c>
      <c r="B150" s="322"/>
      <c r="C150" s="322"/>
      <c r="D150" s="322"/>
      <c r="E150" s="322"/>
      <c r="F150" s="328" t="s">
        <v>109</v>
      </c>
      <c r="G150" s="852">
        <f>2097071+213711</f>
        <v>2310782</v>
      </c>
      <c r="H150" s="315"/>
    </row>
    <row r="151" spans="1:8" ht="19.899999999999999" customHeight="1">
      <c r="A151" s="968" t="s">
        <v>408</v>
      </c>
      <c r="B151" s="322"/>
      <c r="C151" s="322"/>
      <c r="D151" s="322"/>
      <c r="E151" s="322"/>
      <c r="F151" s="328" t="s">
        <v>110</v>
      </c>
      <c r="G151" s="852">
        <v>124337</v>
      </c>
      <c r="H151" s="315"/>
    </row>
    <row r="152" spans="1:8" ht="19.899999999999999" customHeight="1">
      <c r="A152" s="968" t="s">
        <v>309</v>
      </c>
      <c r="B152" s="322"/>
      <c r="C152" s="322"/>
      <c r="D152" s="322"/>
      <c r="E152" s="322"/>
      <c r="F152" s="328" t="s">
        <v>111</v>
      </c>
      <c r="G152" s="852">
        <v>0</v>
      </c>
      <c r="H152" s="315"/>
    </row>
    <row r="153" spans="1:8" ht="19.899999999999999" customHeight="1">
      <c r="A153" s="968" t="s">
        <v>310</v>
      </c>
      <c r="B153" s="322"/>
      <c r="C153" s="322"/>
      <c r="D153" s="322"/>
      <c r="E153" s="322"/>
      <c r="F153" s="328" t="s">
        <v>112</v>
      </c>
      <c r="G153" s="852">
        <v>0</v>
      </c>
      <c r="H153" s="315"/>
    </row>
    <row r="154" spans="1:8" ht="19.899999999999999" customHeight="1">
      <c r="A154" s="968" t="s">
        <v>311</v>
      </c>
      <c r="B154" s="322"/>
      <c r="C154" s="322"/>
      <c r="D154" s="322"/>
      <c r="E154" s="322"/>
      <c r="F154" s="328" t="s">
        <v>113</v>
      </c>
      <c r="G154" s="852">
        <v>0</v>
      </c>
      <c r="H154" s="315"/>
    </row>
    <row r="155" spans="1:8" ht="19.899999999999999" customHeight="1">
      <c r="A155" s="968" t="s">
        <v>399</v>
      </c>
      <c r="B155" s="322"/>
      <c r="C155" s="322"/>
      <c r="D155" s="322"/>
      <c r="E155" s="322"/>
      <c r="F155" s="331">
        <v>52500</v>
      </c>
      <c r="G155" s="852">
        <v>0</v>
      </c>
      <c r="H155" s="315"/>
    </row>
    <row r="156" spans="1:8" ht="19.899999999999999" customHeight="1">
      <c r="A156" s="968" t="s">
        <v>393</v>
      </c>
      <c r="B156" s="322"/>
      <c r="C156" s="322"/>
      <c r="D156" s="322"/>
      <c r="E156" s="322"/>
      <c r="F156" s="328" t="s">
        <v>114</v>
      </c>
      <c r="G156" s="852">
        <v>0</v>
      </c>
      <c r="H156" s="315"/>
    </row>
    <row r="157" spans="1:8" ht="19.899999999999999" customHeight="1">
      <c r="A157" s="968" t="s">
        <v>312</v>
      </c>
      <c r="B157" s="322"/>
      <c r="C157" s="322"/>
      <c r="D157" s="322"/>
      <c r="E157" s="322"/>
      <c r="F157" s="328" t="s">
        <v>115</v>
      </c>
      <c r="G157" s="852">
        <v>0</v>
      </c>
      <c r="H157" s="315"/>
    </row>
    <row r="158" spans="1:8" ht="19.899999999999999" customHeight="1">
      <c r="A158" s="968" t="s">
        <v>313</v>
      </c>
      <c r="B158" s="322"/>
      <c r="C158" s="322"/>
      <c r="D158" s="322"/>
      <c r="E158" s="322"/>
      <c r="F158" s="328" t="s">
        <v>116</v>
      </c>
      <c r="G158" s="852">
        <v>0</v>
      </c>
      <c r="H158" s="315"/>
    </row>
    <row r="159" spans="1:8" ht="19.899999999999999" customHeight="1">
      <c r="A159" s="968" t="s">
        <v>394</v>
      </c>
      <c r="B159" s="322"/>
      <c r="C159" s="322"/>
      <c r="D159" s="322"/>
      <c r="E159" s="322"/>
      <c r="F159" s="328" t="s">
        <v>117</v>
      </c>
      <c r="G159" s="852">
        <v>0</v>
      </c>
      <c r="H159" s="315"/>
    </row>
    <row r="160" spans="1:8" ht="19.899999999999999" customHeight="1">
      <c r="A160" s="968" t="s">
        <v>314</v>
      </c>
      <c r="B160" s="322"/>
      <c r="C160" s="322"/>
      <c r="D160" s="322"/>
      <c r="E160" s="322"/>
      <c r="F160" s="328" t="s">
        <v>118</v>
      </c>
      <c r="G160" s="852">
        <v>2045679</v>
      </c>
      <c r="H160" s="315"/>
    </row>
    <row r="161" spans="1:8" ht="19.899999999999999" customHeight="1">
      <c r="A161" s="968" t="s">
        <v>409</v>
      </c>
      <c r="B161" s="322"/>
      <c r="C161" s="322"/>
      <c r="D161" s="322"/>
      <c r="E161" s="322"/>
      <c r="F161" s="328" t="s">
        <v>119</v>
      </c>
      <c r="G161" s="852">
        <v>8963</v>
      </c>
      <c r="H161" s="315"/>
    </row>
    <row r="162" spans="1:8" ht="19.899999999999999" customHeight="1">
      <c r="A162" s="968" t="s">
        <v>315</v>
      </c>
      <c r="B162" s="322"/>
      <c r="C162" s="322"/>
      <c r="D162" s="322"/>
      <c r="E162" s="322"/>
      <c r="F162" s="328" t="s">
        <v>120</v>
      </c>
      <c r="G162" s="852">
        <v>0</v>
      </c>
      <c r="H162" s="315"/>
    </row>
    <row r="163" spans="1:8" ht="19.899999999999999" customHeight="1">
      <c r="A163" s="968" t="s">
        <v>401</v>
      </c>
      <c r="B163" s="322"/>
      <c r="C163" s="322"/>
      <c r="D163" s="322"/>
      <c r="E163" s="322"/>
      <c r="F163" s="328" t="s">
        <v>121</v>
      </c>
      <c r="G163" s="852">
        <v>0</v>
      </c>
      <c r="H163" s="315"/>
    </row>
    <row r="164" spans="1:8" ht="19.899999999999999" customHeight="1">
      <c r="A164" s="968" t="s">
        <v>316</v>
      </c>
      <c r="B164" s="322"/>
      <c r="C164" s="322"/>
      <c r="D164" s="322"/>
      <c r="E164" s="322"/>
      <c r="F164" s="328" t="s">
        <v>122</v>
      </c>
      <c r="G164" s="852">
        <v>53973</v>
      </c>
      <c r="H164" s="315"/>
    </row>
    <row r="165" spans="1:8" ht="19.899999999999999" customHeight="1">
      <c r="A165" s="968" t="s">
        <v>317</v>
      </c>
      <c r="B165" s="322"/>
      <c r="C165" s="322"/>
      <c r="D165" s="322"/>
      <c r="E165" s="322"/>
      <c r="F165" s="328" t="s">
        <v>123</v>
      </c>
      <c r="G165" s="852">
        <v>425891</v>
      </c>
      <c r="H165" s="315"/>
    </row>
    <row r="166" spans="1:8" ht="19.899999999999999" customHeight="1">
      <c r="A166" s="968" t="s">
        <v>318</v>
      </c>
      <c r="B166" s="322"/>
      <c r="C166" s="322"/>
      <c r="D166" s="322"/>
      <c r="E166" s="322"/>
      <c r="F166" s="328" t="s">
        <v>124</v>
      </c>
      <c r="G166" s="852">
        <v>0</v>
      </c>
      <c r="H166" s="315"/>
    </row>
    <row r="167" spans="1:8" ht="19.899999999999999" customHeight="1">
      <c r="A167" s="968" t="s">
        <v>375</v>
      </c>
      <c r="B167" s="322"/>
      <c r="C167" s="322"/>
      <c r="D167" s="322"/>
      <c r="E167" s="322"/>
      <c r="F167" s="328" t="s">
        <v>125</v>
      </c>
      <c r="G167" s="852">
        <v>27404</v>
      </c>
      <c r="H167" s="315"/>
    </row>
    <row r="168" spans="1:8" ht="19.899999999999999" customHeight="1">
      <c r="A168" s="968" t="s">
        <v>410</v>
      </c>
      <c r="B168" s="322"/>
      <c r="C168" s="322"/>
      <c r="D168" s="322"/>
      <c r="E168" s="322"/>
      <c r="F168" s="328" t="s">
        <v>126</v>
      </c>
      <c r="G168" s="852">
        <v>0</v>
      </c>
      <c r="H168" s="315"/>
    </row>
    <row r="169" spans="1:8" ht="19.899999999999999" customHeight="1">
      <c r="A169" s="968" t="s">
        <v>395</v>
      </c>
      <c r="B169" s="322"/>
      <c r="C169" s="322"/>
      <c r="D169" s="322"/>
      <c r="E169" s="322"/>
      <c r="F169" s="328" t="s">
        <v>127</v>
      </c>
      <c r="G169" s="852">
        <v>660792</v>
      </c>
      <c r="H169" s="315"/>
    </row>
    <row r="170" spans="1:8" ht="19.899999999999999" customHeight="1">
      <c r="A170" s="968" t="s">
        <v>396</v>
      </c>
      <c r="B170" s="322"/>
      <c r="C170" s="322"/>
      <c r="D170" s="322"/>
      <c r="E170" s="322"/>
      <c r="F170" s="331">
        <v>56001</v>
      </c>
      <c r="G170" s="852">
        <v>0</v>
      </c>
      <c r="H170" s="315"/>
    </row>
    <row r="171" spans="1:8" ht="19.899999999999999" customHeight="1">
      <c r="A171" s="968" t="s">
        <v>397</v>
      </c>
      <c r="B171" s="322"/>
      <c r="C171" s="322"/>
      <c r="D171" s="322"/>
      <c r="E171" s="322"/>
      <c r="F171" s="331">
        <v>56002</v>
      </c>
      <c r="G171" s="852">
        <v>0</v>
      </c>
      <c r="H171" s="315"/>
    </row>
    <row r="172" spans="1:8" ht="19.899999999999999" customHeight="1">
      <c r="A172" s="968" t="s">
        <v>398</v>
      </c>
      <c r="B172" s="322"/>
      <c r="C172" s="322"/>
      <c r="D172" s="322"/>
      <c r="E172" s="322"/>
      <c r="F172" s="331">
        <v>56003</v>
      </c>
      <c r="G172" s="852">
        <v>0</v>
      </c>
      <c r="H172" s="315"/>
    </row>
    <row r="173" spans="1:8" ht="19.899999999999999" customHeight="1">
      <c r="A173" s="968" t="s">
        <v>459</v>
      </c>
      <c r="B173" s="322"/>
      <c r="C173" s="322"/>
      <c r="D173" s="322"/>
      <c r="E173" s="322"/>
      <c r="F173" s="354" t="s">
        <v>458</v>
      </c>
      <c r="G173" s="852">
        <v>0</v>
      </c>
      <c r="H173" s="315"/>
    </row>
    <row r="174" spans="1:8" ht="19.899999999999999" customHeight="1">
      <c r="A174" s="968" t="s">
        <v>392</v>
      </c>
      <c r="B174" s="322"/>
      <c r="C174" s="322"/>
      <c r="D174" s="322"/>
      <c r="E174" s="322"/>
      <c r="F174" s="328" t="s">
        <v>128</v>
      </c>
      <c r="G174" s="852">
        <v>0</v>
      </c>
      <c r="H174" s="315"/>
    </row>
    <row r="175" spans="1:8" ht="19.899999999999999" customHeight="1">
      <c r="A175" s="1004" t="s">
        <v>319</v>
      </c>
      <c r="B175" s="315"/>
      <c r="C175" s="315"/>
      <c r="D175" s="315"/>
      <c r="E175" s="315"/>
      <c r="F175" s="350" t="s">
        <v>129</v>
      </c>
      <c r="G175" s="852">
        <v>148944</v>
      </c>
      <c r="H175" s="315"/>
    </row>
    <row r="176" spans="1:8" ht="19.899999999999999" customHeight="1">
      <c r="A176" s="968" t="s">
        <v>320</v>
      </c>
      <c r="B176" s="322"/>
      <c r="C176" s="322"/>
      <c r="D176" s="322"/>
      <c r="E176" s="322"/>
      <c r="F176" s="328" t="s">
        <v>130</v>
      </c>
      <c r="G176" s="852">
        <v>93050</v>
      </c>
      <c r="H176" s="315"/>
    </row>
    <row r="177" spans="1:8" ht="19.899999999999999" customHeight="1">
      <c r="A177" s="968" t="s">
        <v>321</v>
      </c>
      <c r="B177" s="322"/>
      <c r="C177" s="322"/>
      <c r="D177" s="322"/>
      <c r="E177" s="322"/>
      <c r="F177" s="328" t="s">
        <v>131</v>
      </c>
      <c r="G177" s="852">
        <v>0</v>
      </c>
      <c r="H177" s="315"/>
    </row>
    <row r="178" spans="1:8" ht="19.899999999999999" customHeight="1">
      <c r="A178" s="968" t="s">
        <v>322</v>
      </c>
      <c r="B178" s="322"/>
      <c r="C178" s="322"/>
      <c r="D178" s="322"/>
      <c r="E178" s="322"/>
      <c r="F178" s="328" t="s">
        <v>132</v>
      </c>
      <c r="G178" s="852">
        <v>0</v>
      </c>
      <c r="H178" s="315"/>
    </row>
    <row r="179" spans="1:8" ht="19.899999999999999" customHeight="1">
      <c r="A179" s="968" t="s">
        <v>323</v>
      </c>
      <c r="B179" s="322"/>
      <c r="C179" s="322"/>
      <c r="D179" s="322"/>
      <c r="E179" s="322"/>
      <c r="F179" s="328" t="s">
        <v>133</v>
      </c>
      <c r="G179" s="852">
        <v>0</v>
      </c>
      <c r="H179" s="315"/>
    </row>
    <row r="180" spans="1:8" ht="19.899999999999999" customHeight="1">
      <c r="A180" s="968" t="s">
        <v>324</v>
      </c>
      <c r="B180" s="322"/>
      <c r="C180" s="322"/>
      <c r="D180" s="322"/>
      <c r="E180" s="322"/>
      <c r="F180" s="328" t="s">
        <v>134</v>
      </c>
      <c r="G180" s="852">
        <v>0</v>
      </c>
      <c r="H180" s="315"/>
    </row>
    <row r="181" spans="1:8" ht="19.899999999999999" customHeight="1">
      <c r="A181" s="968" t="s">
        <v>325</v>
      </c>
      <c r="B181" s="322"/>
      <c r="C181" s="322"/>
      <c r="D181" s="322"/>
      <c r="E181" s="322"/>
      <c r="F181" s="328" t="s">
        <v>135</v>
      </c>
      <c r="G181" s="852">
        <v>0</v>
      </c>
      <c r="H181" s="315"/>
    </row>
    <row r="182" spans="1:8" ht="19.899999999999999" customHeight="1">
      <c r="A182" s="968" t="s">
        <v>326</v>
      </c>
      <c r="B182" s="322"/>
      <c r="C182" s="322"/>
      <c r="D182" s="322"/>
      <c r="E182" s="322"/>
      <c r="F182" s="328" t="s">
        <v>136</v>
      </c>
      <c r="G182" s="852">
        <v>0</v>
      </c>
      <c r="H182" s="315"/>
    </row>
    <row r="183" spans="1:8" ht="19.899999999999999" customHeight="1">
      <c r="A183" s="968" t="s">
        <v>327</v>
      </c>
      <c r="B183" s="322"/>
      <c r="C183" s="322"/>
      <c r="D183" s="322"/>
      <c r="E183" s="322"/>
      <c r="F183" s="328" t="s">
        <v>137</v>
      </c>
      <c r="G183" s="852">
        <f>431288+100842</f>
        <v>532130</v>
      </c>
      <c r="H183" s="315"/>
    </row>
    <row r="184" spans="1:8" ht="19.899999999999999" customHeight="1">
      <c r="A184" s="968" t="s">
        <v>328</v>
      </c>
      <c r="B184" s="322"/>
      <c r="C184" s="322"/>
      <c r="D184" s="322"/>
      <c r="E184" s="322"/>
      <c r="F184" s="328" t="s">
        <v>138</v>
      </c>
      <c r="G184" s="852">
        <v>670147</v>
      </c>
      <c r="H184" s="315"/>
    </row>
    <row r="185" spans="1:8" ht="19.899999999999999" customHeight="1">
      <c r="A185" s="968" t="s">
        <v>391</v>
      </c>
      <c r="B185" s="322"/>
      <c r="C185" s="322"/>
      <c r="D185" s="322"/>
      <c r="E185" s="322"/>
      <c r="F185" s="328" t="s">
        <v>139</v>
      </c>
      <c r="G185" s="852">
        <v>25000</v>
      </c>
      <c r="H185" s="315"/>
    </row>
    <row r="186" spans="1:8" ht="19.899999999999999" customHeight="1">
      <c r="A186" s="968" t="s">
        <v>329</v>
      </c>
      <c r="B186" s="322"/>
      <c r="C186" s="322"/>
      <c r="D186" s="322"/>
      <c r="E186" s="322"/>
      <c r="F186" s="328" t="s">
        <v>140</v>
      </c>
      <c r="G186" s="852">
        <v>0</v>
      </c>
      <c r="H186" s="315"/>
    </row>
    <row r="187" spans="1:8" ht="19.899999999999999" customHeight="1">
      <c r="A187" s="968" t="s">
        <v>330</v>
      </c>
      <c r="B187" s="322"/>
      <c r="C187" s="322"/>
      <c r="D187" s="322"/>
      <c r="E187" s="322"/>
      <c r="F187" s="328" t="s">
        <v>141</v>
      </c>
      <c r="G187" s="852">
        <v>18000</v>
      </c>
      <c r="H187" s="315"/>
    </row>
    <row r="188" spans="1:8" ht="19.899999999999999" customHeight="1">
      <c r="A188" s="968" t="s">
        <v>481</v>
      </c>
      <c r="B188" s="322"/>
      <c r="C188" s="322"/>
      <c r="D188" s="322"/>
      <c r="E188" s="322"/>
      <c r="F188" s="355">
        <v>59600</v>
      </c>
      <c r="G188" s="852">
        <f>5000+1200</f>
        <v>6200</v>
      </c>
      <c r="H188" s="315"/>
    </row>
    <row r="189" spans="1:8" ht="19.899999999999999" customHeight="1">
      <c r="A189" s="968" t="s">
        <v>331</v>
      </c>
      <c r="B189" s="322"/>
      <c r="C189" s="322"/>
      <c r="D189" s="322"/>
      <c r="E189" s="322"/>
      <c r="F189" s="328" t="s">
        <v>142</v>
      </c>
      <c r="G189" s="852">
        <f>951469+8663</f>
        <v>960132</v>
      </c>
      <c r="H189" s="315"/>
    </row>
    <row r="190" spans="1:8" ht="19.899999999999999" customHeight="1">
      <c r="A190" s="968" t="s">
        <v>332</v>
      </c>
      <c r="B190" s="322"/>
      <c r="C190" s="322"/>
      <c r="D190" s="322"/>
      <c r="E190" s="322"/>
      <c r="F190" s="328" t="s">
        <v>143</v>
      </c>
      <c r="G190" s="852">
        <v>0</v>
      </c>
      <c r="H190" s="315"/>
    </row>
    <row r="191" spans="1:8" ht="19.899999999999999" customHeight="1">
      <c r="A191" s="968" t="s">
        <v>333</v>
      </c>
      <c r="B191" s="322"/>
      <c r="C191" s="322"/>
      <c r="D191" s="322"/>
      <c r="E191" s="322"/>
      <c r="F191" s="328" t="s">
        <v>144</v>
      </c>
      <c r="G191" s="852">
        <v>0</v>
      </c>
      <c r="H191" s="315"/>
    </row>
    <row r="192" spans="1:8" ht="19.899999999999999" customHeight="1">
      <c r="A192" s="968"/>
      <c r="B192" s="322"/>
      <c r="C192" s="322"/>
      <c r="D192" s="322"/>
      <c r="E192" s="322"/>
      <c r="F192" s="328"/>
      <c r="G192" s="1012"/>
      <c r="H192" s="315"/>
    </row>
    <row r="193" spans="1:8" ht="19.899999999999999" customHeight="1">
      <c r="A193" s="1035" t="s">
        <v>145</v>
      </c>
      <c r="B193" s="1036"/>
      <c r="C193" s="1036"/>
      <c r="D193" s="1036"/>
      <c r="E193" s="1036"/>
      <c r="F193" s="1051"/>
      <c r="G193" s="1052">
        <f>SUM(G145:G191)</f>
        <v>9176394</v>
      </c>
      <c r="H193" s="315"/>
    </row>
    <row r="194" spans="1:8" ht="19.899999999999999" customHeight="1">
      <c r="A194" s="1013"/>
      <c r="B194" s="356"/>
      <c r="C194" s="356"/>
      <c r="D194" s="356"/>
      <c r="E194" s="356"/>
      <c r="F194" s="375"/>
      <c r="G194" s="357"/>
      <c r="H194" s="315"/>
    </row>
    <row r="195" spans="1:8" ht="19.899999999999999" customHeight="1">
      <c r="A195" s="1014" t="s">
        <v>583</v>
      </c>
      <c r="B195" s="1015"/>
      <c r="C195" s="1015"/>
      <c r="D195" s="1015"/>
      <c r="E195" s="1015"/>
      <c r="F195" s="1016"/>
      <c r="G195" s="1017"/>
      <c r="H195" s="315"/>
    </row>
    <row r="196" spans="1:8" ht="19.899999999999999" customHeight="1">
      <c r="A196" s="968"/>
      <c r="B196" s="322"/>
      <c r="C196" s="322"/>
      <c r="D196" s="322"/>
      <c r="E196" s="322"/>
      <c r="F196" s="328"/>
      <c r="G196" s="353"/>
      <c r="H196" s="315"/>
    </row>
    <row r="197" spans="1:8" ht="19.899999999999999" customHeight="1">
      <c r="A197" s="968" t="s">
        <v>334</v>
      </c>
      <c r="B197" s="322"/>
      <c r="C197" s="322"/>
      <c r="D197" s="322"/>
      <c r="E197" s="322"/>
      <c r="F197" s="328" t="s">
        <v>146</v>
      </c>
      <c r="G197" s="851">
        <v>232221</v>
      </c>
      <c r="H197" s="315"/>
    </row>
    <row r="198" spans="1:8" ht="19.899999999999999" customHeight="1">
      <c r="A198" s="968" t="s">
        <v>335</v>
      </c>
      <c r="B198" s="322"/>
      <c r="C198" s="322"/>
      <c r="D198" s="322"/>
      <c r="E198" s="322"/>
      <c r="F198" s="328" t="s">
        <v>147</v>
      </c>
      <c r="G198" s="852">
        <v>23479</v>
      </c>
      <c r="H198" s="315"/>
    </row>
    <row r="199" spans="1:8" ht="19.899999999999999" customHeight="1">
      <c r="A199" s="968" t="s">
        <v>336</v>
      </c>
      <c r="B199" s="322"/>
      <c r="C199" s="322"/>
      <c r="D199" s="322"/>
      <c r="E199" s="322"/>
      <c r="F199" s="328" t="s">
        <v>148</v>
      </c>
      <c r="G199" s="852">
        <v>88630</v>
      </c>
      <c r="H199" s="315"/>
    </row>
    <row r="200" spans="1:8" ht="19.899999999999999" customHeight="1">
      <c r="A200" s="968" t="s">
        <v>339</v>
      </c>
      <c r="B200" s="322"/>
      <c r="C200" s="322"/>
      <c r="D200" s="322"/>
      <c r="E200" s="322"/>
      <c r="F200" s="328" t="s">
        <v>149</v>
      </c>
      <c r="G200" s="852">
        <v>29750</v>
      </c>
      <c r="H200" s="315"/>
    </row>
    <row r="201" spans="1:8" ht="19.899999999999999" customHeight="1">
      <c r="A201" s="968" t="s">
        <v>495</v>
      </c>
      <c r="B201" s="322"/>
      <c r="C201" s="322"/>
      <c r="D201" s="322"/>
      <c r="E201" s="322"/>
      <c r="F201" s="328" t="s">
        <v>150</v>
      </c>
      <c r="G201" s="852">
        <v>464902</v>
      </c>
      <c r="H201" s="315"/>
    </row>
    <row r="202" spans="1:8" ht="19.899999999999999" customHeight="1">
      <c r="A202" s="968" t="s">
        <v>341</v>
      </c>
      <c r="B202" s="322"/>
      <c r="C202" s="322"/>
      <c r="D202" s="322"/>
      <c r="E202" s="322"/>
      <c r="F202" s="328" t="s">
        <v>151</v>
      </c>
      <c r="G202" s="852">
        <v>156233</v>
      </c>
      <c r="H202" s="315"/>
    </row>
    <row r="203" spans="1:8" ht="19.899999999999999" customHeight="1">
      <c r="A203" s="968" t="s">
        <v>342</v>
      </c>
      <c r="B203" s="322"/>
      <c r="C203" s="322"/>
      <c r="D203" s="322"/>
      <c r="E203" s="322"/>
      <c r="F203" s="328" t="s">
        <v>152</v>
      </c>
      <c r="G203" s="852">
        <v>200647</v>
      </c>
      <c r="H203" s="315"/>
    </row>
    <row r="204" spans="1:8" ht="19.899999999999999" customHeight="1">
      <c r="A204" s="968" t="s">
        <v>343</v>
      </c>
      <c r="B204" s="322"/>
      <c r="C204" s="322"/>
      <c r="D204" s="322"/>
      <c r="E204" s="322"/>
      <c r="F204" s="328" t="s">
        <v>153</v>
      </c>
      <c r="G204" s="852">
        <v>521637</v>
      </c>
      <c r="H204" s="315"/>
    </row>
    <row r="205" spans="1:8" ht="19.899999999999999" customHeight="1">
      <c r="A205" s="968" t="s">
        <v>344</v>
      </c>
      <c r="B205" s="322"/>
      <c r="C205" s="322"/>
      <c r="D205" s="322"/>
      <c r="E205" s="322"/>
      <c r="F205" s="328" t="s">
        <v>154</v>
      </c>
      <c r="G205" s="852">
        <v>0</v>
      </c>
      <c r="H205" s="315"/>
    </row>
    <row r="206" spans="1:8" ht="19.899999999999999" customHeight="1">
      <c r="A206" s="968" t="s">
        <v>345</v>
      </c>
      <c r="B206" s="322"/>
      <c r="C206" s="322"/>
      <c r="D206" s="322"/>
      <c r="E206" s="322"/>
      <c r="F206" s="328" t="s">
        <v>155</v>
      </c>
      <c r="G206" s="852">
        <v>0</v>
      </c>
      <c r="H206" s="315"/>
    </row>
    <row r="207" spans="1:8" ht="19.899999999999999" customHeight="1">
      <c r="A207" s="968" t="s">
        <v>346</v>
      </c>
      <c r="B207" s="322"/>
      <c r="C207" s="322"/>
      <c r="D207" s="322"/>
      <c r="E207" s="322"/>
      <c r="F207" s="328" t="s">
        <v>156</v>
      </c>
      <c r="G207" s="852">
        <v>0</v>
      </c>
      <c r="H207" s="315"/>
    </row>
    <row r="208" spans="1:8" ht="19.899999999999999" customHeight="1">
      <c r="A208" s="968" t="s">
        <v>347</v>
      </c>
      <c r="B208" s="322"/>
      <c r="C208" s="322"/>
      <c r="D208" s="322"/>
      <c r="E208" s="322"/>
      <c r="F208" s="328" t="s">
        <v>157</v>
      </c>
      <c r="G208" s="852">
        <v>0</v>
      </c>
      <c r="H208" s="315"/>
    </row>
    <row r="209" spans="1:8" ht="19.899999999999999" customHeight="1">
      <c r="A209" s="968" t="s">
        <v>348</v>
      </c>
      <c r="B209" s="322"/>
      <c r="C209" s="322"/>
      <c r="D209" s="322"/>
      <c r="E209" s="322"/>
      <c r="F209" s="328" t="s">
        <v>158</v>
      </c>
      <c r="G209" s="852">
        <v>0</v>
      </c>
      <c r="H209" s="315"/>
    </row>
    <row r="210" spans="1:8" ht="19.899999999999999" customHeight="1">
      <c r="A210" s="968" t="s">
        <v>349</v>
      </c>
      <c r="B210" s="315"/>
      <c r="C210" s="315"/>
      <c r="D210" s="315"/>
      <c r="E210" s="315"/>
      <c r="F210" s="328" t="s">
        <v>159</v>
      </c>
      <c r="G210" s="852">
        <v>0</v>
      </c>
      <c r="H210" s="315"/>
    </row>
    <row r="211" spans="1:8" ht="19.899999999999999" customHeight="1">
      <c r="A211" s="968" t="s">
        <v>350</v>
      </c>
      <c r="B211" s="315"/>
      <c r="C211" s="315"/>
      <c r="D211" s="315"/>
      <c r="E211" s="315"/>
      <c r="F211" s="331">
        <v>64007</v>
      </c>
      <c r="G211" s="852">
        <v>0</v>
      </c>
      <c r="H211" s="315"/>
    </row>
    <row r="212" spans="1:8" ht="19.899999999999999" customHeight="1">
      <c r="A212" s="968" t="s">
        <v>351</v>
      </c>
      <c r="B212" s="322"/>
      <c r="C212" s="322"/>
      <c r="D212" s="322"/>
      <c r="E212" s="322"/>
      <c r="F212" s="328" t="s">
        <v>160</v>
      </c>
      <c r="G212" s="852">
        <v>1047817</v>
      </c>
      <c r="H212" s="315"/>
    </row>
    <row r="213" spans="1:8" ht="19.899999999999999" customHeight="1">
      <c r="A213" s="968" t="s">
        <v>352</v>
      </c>
      <c r="B213" s="322"/>
      <c r="C213" s="322"/>
      <c r="D213" s="322"/>
      <c r="E213" s="322"/>
      <c r="F213" s="328" t="s">
        <v>161</v>
      </c>
      <c r="G213" s="852">
        <v>0</v>
      </c>
      <c r="H213" s="315"/>
    </row>
    <row r="214" spans="1:8" ht="19.899999999999999" customHeight="1">
      <c r="A214" s="968" t="s">
        <v>353</v>
      </c>
      <c r="B214" s="322"/>
      <c r="C214" s="322"/>
      <c r="D214" s="322"/>
      <c r="E214" s="322"/>
      <c r="F214" s="328" t="s">
        <v>162</v>
      </c>
      <c r="G214" s="852">
        <v>0</v>
      </c>
      <c r="H214" s="315"/>
    </row>
    <row r="215" spans="1:8" ht="19.899999999999999" customHeight="1">
      <c r="A215" s="968" t="s">
        <v>354</v>
      </c>
      <c r="B215" s="322"/>
      <c r="C215" s="322"/>
      <c r="D215" s="322"/>
      <c r="E215" s="322"/>
      <c r="F215" s="328" t="s">
        <v>163</v>
      </c>
      <c r="G215" s="852">
        <v>175840</v>
      </c>
      <c r="H215" s="315"/>
    </row>
    <row r="216" spans="1:8" ht="19.899999999999999" customHeight="1">
      <c r="A216" s="968" t="s">
        <v>406</v>
      </c>
      <c r="B216" s="322"/>
      <c r="C216" s="322"/>
      <c r="D216" s="322"/>
      <c r="E216" s="322"/>
      <c r="F216" s="328" t="s">
        <v>164</v>
      </c>
      <c r="G216" s="852">
        <v>211898</v>
      </c>
      <c r="H216" s="315"/>
    </row>
    <row r="217" spans="1:8" ht="19.899999999999999" customHeight="1">
      <c r="A217" s="968" t="s">
        <v>355</v>
      </c>
      <c r="B217" s="315"/>
      <c r="C217" s="315"/>
      <c r="D217" s="315"/>
      <c r="E217" s="315"/>
      <c r="F217" s="350" t="s">
        <v>165</v>
      </c>
      <c r="G217" s="852">
        <v>106498</v>
      </c>
      <c r="H217" s="315"/>
    </row>
    <row r="218" spans="1:8" ht="19.899999999999999" customHeight="1">
      <c r="A218" s="968" t="s">
        <v>407</v>
      </c>
      <c r="B218" s="322"/>
      <c r="C218" s="322"/>
      <c r="D218" s="322"/>
      <c r="E218" s="322"/>
      <c r="F218" s="328" t="s">
        <v>166</v>
      </c>
      <c r="G218" s="852">
        <v>36685</v>
      </c>
      <c r="H218" s="315"/>
    </row>
    <row r="219" spans="1:8" ht="19.899999999999999" customHeight="1">
      <c r="A219" s="968" t="s">
        <v>356</v>
      </c>
      <c r="B219" s="322"/>
      <c r="C219" s="322"/>
      <c r="D219" s="322"/>
      <c r="E219" s="322"/>
      <c r="F219" s="328" t="s">
        <v>167</v>
      </c>
      <c r="G219" s="852">
        <v>10620</v>
      </c>
      <c r="H219" s="315"/>
    </row>
    <row r="220" spans="1:8" ht="19.899999999999999" customHeight="1">
      <c r="A220" s="969" t="s">
        <v>357</v>
      </c>
      <c r="B220" s="325"/>
      <c r="C220" s="325"/>
      <c r="D220" s="325"/>
      <c r="E220" s="325"/>
      <c r="F220" s="342" t="s">
        <v>168</v>
      </c>
      <c r="G220" s="852">
        <v>28907</v>
      </c>
      <c r="H220" s="315"/>
    </row>
    <row r="221" spans="1:8" ht="19.899999999999999" customHeight="1">
      <c r="A221" s="968" t="s">
        <v>358</v>
      </c>
      <c r="B221" s="322"/>
      <c r="C221" s="322"/>
      <c r="D221" s="322"/>
      <c r="E221" s="322"/>
      <c r="F221" s="347" t="s">
        <v>169</v>
      </c>
      <c r="G221" s="852">
        <v>0</v>
      </c>
      <c r="H221" s="315"/>
    </row>
    <row r="222" spans="1:8" ht="19.899999999999999" customHeight="1">
      <c r="A222" s="968" t="s">
        <v>359</v>
      </c>
      <c r="B222" s="322"/>
      <c r="C222" s="322"/>
      <c r="D222" s="322"/>
      <c r="E222" s="322"/>
      <c r="F222" s="328" t="s">
        <v>170</v>
      </c>
      <c r="G222" s="852">
        <v>0</v>
      </c>
      <c r="H222" s="315"/>
    </row>
    <row r="223" spans="1:8" ht="19.899999999999999" customHeight="1">
      <c r="A223" s="968" t="s">
        <v>360</v>
      </c>
      <c r="B223" s="322"/>
      <c r="C223" s="322"/>
      <c r="D223" s="322"/>
      <c r="E223" s="322"/>
      <c r="F223" s="328" t="s">
        <v>171</v>
      </c>
      <c r="G223" s="852">
        <v>0</v>
      </c>
      <c r="H223" s="315"/>
    </row>
    <row r="224" spans="1:8" ht="19.899999999999999" customHeight="1">
      <c r="A224" s="968" t="s">
        <v>361</v>
      </c>
      <c r="B224" s="322"/>
      <c r="C224" s="322"/>
      <c r="D224" s="322"/>
      <c r="E224" s="322"/>
      <c r="F224" s="328" t="s">
        <v>172</v>
      </c>
      <c r="G224" s="852">
        <v>0</v>
      </c>
      <c r="H224" s="315"/>
    </row>
    <row r="225" spans="1:9" ht="19.899999999999999" customHeight="1">
      <c r="A225" s="968" t="s">
        <v>362</v>
      </c>
      <c r="B225" s="322"/>
      <c r="C225" s="322"/>
      <c r="D225" s="322"/>
      <c r="E225" s="322"/>
      <c r="F225" s="328" t="s">
        <v>173</v>
      </c>
      <c r="G225" s="852">
        <v>0</v>
      </c>
      <c r="H225" s="315"/>
    </row>
    <row r="226" spans="1:9" ht="19.899999999999999" customHeight="1">
      <c r="A226" s="968" t="s">
        <v>363</v>
      </c>
      <c r="B226" s="322"/>
      <c r="C226" s="322"/>
      <c r="D226" s="322"/>
      <c r="E226" s="322"/>
      <c r="F226" s="328" t="s">
        <v>174</v>
      </c>
      <c r="G226" s="852">
        <v>0</v>
      </c>
      <c r="H226" s="315"/>
    </row>
    <row r="227" spans="1:9" ht="19.899999999999999" customHeight="1">
      <c r="A227" s="1018" t="s">
        <v>439</v>
      </c>
      <c r="B227" s="322"/>
      <c r="C227" s="322"/>
      <c r="D227" s="358"/>
      <c r="E227" s="322"/>
      <c r="F227" s="359" t="s">
        <v>234</v>
      </c>
      <c r="G227" s="852">
        <v>0</v>
      </c>
      <c r="H227" s="315"/>
    </row>
    <row r="228" spans="1:9" ht="19.899999999999999" customHeight="1">
      <c r="A228" s="1018" t="s">
        <v>440</v>
      </c>
      <c r="B228" s="360"/>
      <c r="C228" s="360"/>
      <c r="D228" s="361"/>
      <c r="E228" s="360"/>
      <c r="F228" s="362" t="s">
        <v>250</v>
      </c>
      <c r="G228" s="852">
        <v>0</v>
      </c>
      <c r="H228" s="315"/>
    </row>
    <row r="229" spans="1:9" ht="19.899999999999999" customHeight="1">
      <c r="A229" s="1018" t="s">
        <v>441</v>
      </c>
      <c r="B229" s="360"/>
      <c r="C229" s="360"/>
      <c r="D229" s="361"/>
      <c r="E229" s="360"/>
      <c r="F229" s="362" t="s">
        <v>251</v>
      </c>
      <c r="G229" s="852">
        <v>0</v>
      </c>
      <c r="H229" s="315"/>
    </row>
    <row r="230" spans="1:9" ht="19.899999999999999" customHeight="1">
      <c r="A230" s="1018" t="s">
        <v>442</v>
      </c>
      <c r="B230" s="360"/>
      <c r="C230" s="360"/>
      <c r="D230" s="361"/>
      <c r="E230" s="360"/>
      <c r="F230" s="363" t="s">
        <v>175</v>
      </c>
      <c r="G230" s="852">
        <v>0</v>
      </c>
      <c r="H230" s="315"/>
    </row>
    <row r="231" spans="1:9" ht="19.899999999999999" customHeight="1">
      <c r="A231" s="1018" t="s">
        <v>448</v>
      </c>
      <c r="B231" s="360"/>
      <c r="C231" s="360"/>
      <c r="D231" s="361"/>
      <c r="E231" s="360"/>
      <c r="F231" s="364">
        <v>69270</v>
      </c>
      <c r="G231" s="852">
        <v>0</v>
      </c>
      <c r="H231" s="315"/>
    </row>
    <row r="232" spans="1:9" ht="19.899999999999999" customHeight="1">
      <c r="A232" s="968" t="s">
        <v>366</v>
      </c>
      <c r="B232" s="322"/>
      <c r="C232" s="322"/>
      <c r="D232" s="322"/>
      <c r="E232" s="322"/>
      <c r="F232" s="328" t="s">
        <v>176</v>
      </c>
      <c r="G232" s="852">
        <f>87961+5520</f>
        <v>93481</v>
      </c>
      <c r="H232" s="315"/>
      <c r="I232" s="365"/>
    </row>
    <row r="233" spans="1:9" ht="19.899999999999999" customHeight="1">
      <c r="A233" s="968" t="s">
        <v>597</v>
      </c>
      <c r="B233" s="322"/>
      <c r="C233" s="322"/>
      <c r="D233" s="322"/>
      <c r="E233" s="322"/>
      <c r="F233" s="328" t="s">
        <v>177</v>
      </c>
      <c r="G233" s="852">
        <v>0</v>
      </c>
      <c r="H233" s="315"/>
    </row>
    <row r="234" spans="1:9" ht="19.899999999999999" customHeight="1">
      <c r="A234" s="968" t="s">
        <v>367</v>
      </c>
      <c r="B234" s="322"/>
      <c r="C234" s="322"/>
      <c r="D234" s="322"/>
      <c r="E234" s="322"/>
      <c r="F234" s="328" t="s">
        <v>178</v>
      </c>
      <c r="G234" s="1019">
        <v>0</v>
      </c>
      <c r="H234" s="315"/>
    </row>
    <row r="235" spans="1:9" ht="19.899999999999999" customHeight="1">
      <c r="A235" s="968"/>
      <c r="B235" s="322"/>
      <c r="C235" s="322"/>
      <c r="D235" s="322"/>
      <c r="E235" s="322"/>
      <c r="F235" s="328"/>
      <c r="G235" s="366"/>
      <c r="H235" s="315"/>
    </row>
    <row r="236" spans="1:9" ht="19.899999999999999" customHeight="1">
      <c r="A236" s="1000" t="s">
        <v>584</v>
      </c>
      <c r="B236" s="978"/>
      <c r="C236" s="978"/>
      <c r="D236" s="978"/>
      <c r="E236" s="978"/>
      <c r="F236" s="979"/>
      <c r="G236" s="1020">
        <f>SUM(G197:G234)</f>
        <v>3429245</v>
      </c>
      <c r="H236" s="315"/>
    </row>
    <row r="237" spans="1:9" ht="19.899999999999999" customHeight="1">
      <c r="A237" s="1013"/>
      <c r="B237" s="356"/>
      <c r="C237" s="356"/>
      <c r="D237" s="356"/>
      <c r="E237" s="356"/>
      <c r="F237" s="1021"/>
      <c r="G237" s="1022"/>
      <c r="H237" s="315"/>
    </row>
    <row r="238" spans="1:9" ht="19.899999999999999" customHeight="1">
      <c r="A238" s="1125" t="s">
        <v>13</v>
      </c>
      <c r="B238" s="1126"/>
      <c r="C238" s="1126"/>
      <c r="D238" s="1126"/>
      <c r="E238" s="1126"/>
      <c r="F238" s="1127"/>
      <c r="G238" s="1023"/>
      <c r="H238" s="315"/>
    </row>
    <row r="239" spans="1:9" ht="19.899999999999999" customHeight="1">
      <c r="A239" s="968"/>
      <c r="B239" s="322"/>
      <c r="C239" s="322"/>
      <c r="D239" s="322"/>
      <c r="E239" s="322"/>
      <c r="F239" s="328"/>
      <c r="G239" s="366"/>
      <c r="H239" s="315"/>
    </row>
    <row r="240" spans="1:9" ht="19.899999999999999" customHeight="1">
      <c r="A240" s="969" t="s">
        <v>370</v>
      </c>
      <c r="B240" s="325"/>
      <c r="C240" s="325"/>
      <c r="D240" s="325"/>
      <c r="E240" s="325"/>
      <c r="F240" s="342" t="s">
        <v>180</v>
      </c>
      <c r="G240" s="853">
        <v>60355</v>
      </c>
      <c r="H240" s="315"/>
    </row>
    <row r="241" spans="1:10" ht="19.899999999999999" customHeight="1">
      <c r="A241" s="969" t="s">
        <v>449</v>
      </c>
      <c r="B241" s="325"/>
      <c r="C241" s="325"/>
      <c r="D241" s="325"/>
      <c r="E241" s="325"/>
      <c r="F241" s="342" t="s">
        <v>181</v>
      </c>
      <c r="G241" s="854">
        <v>6000</v>
      </c>
      <c r="H241" s="315"/>
    </row>
    <row r="242" spans="1:10" ht="19.899999999999999" customHeight="1">
      <c r="A242" s="968" t="s">
        <v>368</v>
      </c>
      <c r="B242" s="322"/>
      <c r="C242" s="322"/>
      <c r="D242" s="322"/>
      <c r="E242" s="322"/>
      <c r="F242" s="328" t="s">
        <v>182</v>
      </c>
      <c r="G242" s="854">
        <f>20822-5000</f>
        <v>15822</v>
      </c>
      <c r="H242" s="315"/>
    </row>
    <row r="243" spans="1:10" ht="19.899999999999999" customHeight="1">
      <c r="A243" s="969" t="s">
        <v>369</v>
      </c>
      <c r="B243" s="325"/>
      <c r="C243" s="325"/>
      <c r="D243" s="325"/>
      <c r="E243" s="325"/>
      <c r="F243" s="342" t="s">
        <v>183</v>
      </c>
      <c r="G243" s="854">
        <v>0</v>
      </c>
      <c r="H243" s="1058"/>
      <c r="I243" s="318"/>
    </row>
    <row r="244" spans="1:10" ht="19.899999999999999" customHeight="1">
      <c r="A244" s="969" t="s">
        <v>499</v>
      </c>
      <c r="B244" s="325"/>
      <c r="C244" s="325"/>
      <c r="D244" s="325"/>
      <c r="E244" s="325"/>
      <c r="F244" s="349">
        <v>73050</v>
      </c>
      <c r="G244" s="854">
        <v>0</v>
      </c>
      <c r="H244" s="1058"/>
      <c r="I244" s="318"/>
    </row>
    <row r="245" spans="1:10" ht="19.899999999999999" customHeight="1">
      <c r="A245" s="969" t="s">
        <v>372</v>
      </c>
      <c r="B245" s="325"/>
      <c r="C245" s="325"/>
      <c r="D245" s="325"/>
      <c r="E245" s="325"/>
      <c r="F245" s="342" t="s">
        <v>184</v>
      </c>
      <c r="G245" s="854">
        <v>0</v>
      </c>
      <c r="H245" s="1058"/>
      <c r="I245" s="318"/>
    </row>
    <row r="246" spans="1:10" ht="19.899999999999999" customHeight="1">
      <c r="A246" s="969" t="s">
        <v>498</v>
      </c>
      <c r="B246" s="325"/>
      <c r="C246" s="325"/>
      <c r="D246" s="325"/>
      <c r="E246" s="325"/>
      <c r="F246" s="342" t="s">
        <v>185</v>
      </c>
      <c r="G246" s="854">
        <v>0</v>
      </c>
      <c r="H246" s="1058"/>
      <c r="I246" s="318"/>
      <c r="J246" s="318"/>
    </row>
    <row r="247" spans="1:10" s="318" customFormat="1" ht="19.899999999999999" customHeight="1">
      <c r="A247" s="969" t="s">
        <v>373</v>
      </c>
      <c r="B247" s="325"/>
      <c r="C247" s="325"/>
      <c r="D247" s="325"/>
      <c r="E247" s="325"/>
      <c r="F247" s="342" t="s">
        <v>186</v>
      </c>
      <c r="G247" s="854">
        <v>0</v>
      </c>
      <c r="H247" s="1058"/>
    </row>
    <row r="248" spans="1:10" ht="19.899999999999999" customHeight="1">
      <c r="A248" s="969" t="s">
        <v>496</v>
      </c>
      <c r="B248" s="325"/>
      <c r="C248" s="325"/>
      <c r="D248" s="325"/>
      <c r="E248" s="325"/>
      <c r="F248" s="342" t="s">
        <v>187</v>
      </c>
      <c r="G248" s="854">
        <v>0</v>
      </c>
      <c r="H248" s="1058"/>
      <c r="I248" s="318"/>
      <c r="J248" s="318"/>
    </row>
    <row r="249" spans="1:10" ht="19.899999999999999" customHeight="1">
      <c r="A249" s="969" t="s">
        <v>374</v>
      </c>
      <c r="B249" s="325"/>
      <c r="C249" s="325"/>
      <c r="D249" s="325"/>
      <c r="E249" s="325"/>
      <c r="F249" s="342" t="s">
        <v>188</v>
      </c>
      <c r="G249" s="854">
        <v>0</v>
      </c>
      <c r="H249" s="1058"/>
      <c r="I249" s="318"/>
    </row>
    <row r="250" spans="1:10" ht="19.899999999999999" customHeight="1">
      <c r="A250" s="969"/>
      <c r="B250" s="325"/>
      <c r="C250" s="325"/>
      <c r="D250" s="325"/>
      <c r="E250" s="325"/>
      <c r="F250" s="342"/>
      <c r="G250" s="1024"/>
      <c r="H250" s="1058"/>
      <c r="I250" s="318"/>
    </row>
    <row r="251" spans="1:10" ht="19.899999999999999" customHeight="1">
      <c r="A251" s="1000" t="s">
        <v>189</v>
      </c>
      <c r="B251" s="978"/>
      <c r="C251" s="978"/>
      <c r="D251" s="978"/>
      <c r="E251" s="978"/>
      <c r="F251" s="979"/>
      <c r="G251" s="1020">
        <f>SUM(G240:G249)</f>
        <v>82177</v>
      </c>
      <c r="H251" s="315"/>
    </row>
    <row r="252" spans="1:10" ht="19.899999999999999" customHeight="1">
      <c r="A252" s="1013"/>
      <c r="B252" s="356"/>
      <c r="C252" s="356"/>
      <c r="D252" s="356"/>
      <c r="E252" s="356"/>
      <c r="F252" s="356"/>
      <c r="G252" s="1025"/>
      <c r="H252" s="315"/>
    </row>
    <row r="253" spans="1:10" ht="19.899999999999999" customHeight="1" thickBot="1">
      <c r="A253" s="1053" t="s">
        <v>235</v>
      </c>
      <c r="B253" s="1054"/>
      <c r="C253" s="1054"/>
      <c r="D253" s="1054"/>
      <c r="E253" s="1054"/>
      <c r="F253" s="1055"/>
      <c r="G253" s="1056">
        <f>SUM(G193+G236+G251)</f>
        <v>12687816</v>
      </c>
      <c r="H253" s="315"/>
    </row>
    <row r="254" spans="1:10" ht="19.899999999999999" customHeight="1" thickTop="1">
      <c r="A254" s="1026"/>
      <c r="B254" s="1027"/>
      <c r="C254" s="1027"/>
      <c r="D254" s="1027"/>
      <c r="E254" s="1027"/>
      <c r="F254" s="1028"/>
      <c r="G254" s="1029"/>
      <c r="H254" s="315"/>
    </row>
    <row r="255" spans="1:10" ht="19.899999999999999" customHeight="1">
      <c r="A255" s="1128"/>
      <c r="B255" s="1129"/>
      <c r="C255" s="1129"/>
      <c r="D255" s="1129"/>
      <c r="E255" s="1129"/>
      <c r="F255" s="1130"/>
      <c r="G255" s="1030"/>
      <c r="H255" s="315"/>
    </row>
    <row r="256" spans="1:10" ht="19.899999999999999" customHeight="1">
      <c r="A256" s="968"/>
      <c r="B256" s="322"/>
      <c r="C256" s="322"/>
      <c r="D256" s="322"/>
      <c r="E256" s="322"/>
      <c r="F256" s="328"/>
      <c r="G256" s="366"/>
      <c r="H256" s="315"/>
    </row>
    <row r="257" spans="1:12" ht="19.899999999999999" customHeight="1">
      <c r="A257" s="968" t="s">
        <v>190</v>
      </c>
      <c r="B257" s="322"/>
      <c r="C257" s="322"/>
      <c r="D257" s="322"/>
      <c r="E257" s="322"/>
      <c r="F257" s="367">
        <v>30100</v>
      </c>
      <c r="G257" s="851">
        <v>0</v>
      </c>
      <c r="H257" s="315"/>
    </row>
    <row r="258" spans="1:12" ht="19.899999999999999" customHeight="1">
      <c r="A258" s="968" t="s">
        <v>497</v>
      </c>
      <c r="B258" s="322"/>
      <c r="C258" s="322"/>
      <c r="D258" s="322"/>
      <c r="E258" s="322"/>
      <c r="F258" s="367">
        <v>30200</v>
      </c>
      <c r="G258" s="852">
        <v>0</v>
      </c>
      <c r="H258" s="315"/>
    </row>
    <row r="259" spans="1:12" ht="19.899999999999999" customHeight="1">
      <c r="A259" s="968" t="s">
        <v>191</v>
      </c>
      <c r="B259" s="322"/>
      <c r="C259" s="322"/>
      <c r="D259" s="322"/>
      <c r="E259" s="322"/>
      <c r="F259" s="367">
        <v>30300</v>
      </c>
      <c r="G259" s="852">
        <v>0</v>
      </c>
      <c r="H259" s="315"/>
    </row>
    <row r="260" spans="1:12" ht="19.899999999999999" customHeight="1">
      <c r="A260" s="968" t="s">
        <v>192</v>
      </c>
      <c r="B260" s="322"/>
      <c r="C260" s="322"/>
      <c r="D260" s="322"/>
      <c r="E260" s="322"/>
      <c r="F260" s="367">
        <v>30400</v>
      </c>
      <c r="G260" s="852">
        <v>0</v>
      </c>
      <c r="H260" s="315"/>
    </row>
    <row r="261" spans="1:12" ht="19.899999999999999" customHeight="1">
      <c r="A261" s="968" t="s">
        <v>193</v>
      </c>
      <c r="B261" s="322"/>
      <c r="C261" s="322"/>
      <c r="D261" s="322"/>
      <c r="E261" s="322"/>
      <c r="F261" s="367">
        <v>30500</v>
      </c>
      <c r="G261" s="852">
        <v>0</v>
      </c>
      <c r="H261" s="315"/>
    </row>
    <row r="262" spans="1:12" ht="19.899999999999999" customHeight="1">
      <c r="A262" s="968" t="s">
        <v>194</v>
      </c>
      <c r="B262" s="322"/>
      <c r="C262" s="322"/>
      <c r="D262" s="322"/>
      <c r="E262" s="322"/>
      <c r="F262" s="367">
        <v>30600</v>
      </c>
      <c r="G262" s="852">
        <v>0</v>
      </c>
      <c r="H262" s="315"/>
    </row>
    <row r="263" spans="1:12" ht="19.899999999999999" customHeight="1">
      <c r="A263" s="968" t="s">
        <v>195</v>
      </c>
      <c r="B263" s="322"/>
      <c r="C263" s="322"/>
      <c r="D263" s="322"/>
      <c r="E263" s="322"/>
      <c r="F263" s="367">
        <v>30700</v>
      </c>
      <c r="G263" s="852">
        <v>0</v>
      </c>
      <c r="H263" s="315"/>
    </row>
    <row r="264" spans="1:12" ht="19.899999999999999" customHeight="1">
      <c r="A264" s="968" t="s">
        <v>196</v>
      </c>
      <c r="B264" s="322"/>
      <c r="C264" s="322"/>
      <c r="D264" s="322"/>
      <c r="E264" s="322"/>
      <c r="F264" s="367">
        <v>30900</v>
      </c>
      <c r="G264" s="852">
        <v>0</v>
      </c>
      <c r="H264" s="315"/>
    </row>
    <row r="265" spans="1:12" ht="19.899999999999999" customHeight="1">
      <c r="A265" s="968" t="s">
        <v>197</v>
      </c>
      <c r="B265" s="322"/>
      <c r="C265" s="322"/>
      <c r="D265" s="322"/>
      <c r="E265" s="322"/>
      <c r="F265" s="367">
        <v>31100</v>
      </c>
      <c r="G265" s="1031">
        <v>667586</v>
      </c>
      <c r="H265" s="315"/>
    </row>
    <row r="266" spans="1:12" ht="19.899999999999999" customHeight="1">
      <c r="A266" s="968"/>
      <c r="B266" s="322"/>
      <c r="C266" s="322"/>
      <c r="D266" s="322"/>
      <c r="E266" s="322"/>
      <c r="F266" s="367"/>
      <c r="G266" s="1032"/>
      <c r="H266" s="315"/>
    </row>
    <row r="267" spans="1:12" ht="19.899999999999999" customHeight="1">
      <c r="A267" s="970" t="s">
        <v>476</v>
      </c>
      <c r="B267" s="322"/>
      <c r="C267" s="322"/>
      <c r="D267" s="322"/>
      <c r="E267" s="322"/>
      <c r="F267" s="367"/>
      <c r="G267" s="1033">
        <f>SUM(G257:G265)</f>
        <v>667586</v>
      </c>
      <c r="H267" s="315"/>
    </row>
    <row r="268" spans="1:12" ht="19.899999999999999" customHeight="1">
      <c r="A268" s="970"/>
      <c r="B268" s="322"/>
      <c r="C268" s="322"/>
      <c r="D268" s="322"/>
      <c r="E268" s="322"/>
      <c r="F268" s="367"/>
      <c r="G268" s="366"/>
      <c r="H268" s="315"/>
    </row>
    <row r="269" spans="1:12" ht="19.899999999999999" customHeight="1" thickBot="1">
      <c r="A269" s="1034" t="s">
        <v>714</v>
      </c>
      <c r="B269" s="315"/>
      <c r="C269" s="315"/>
      <c r="D269" s="315"/>
      <c r="E269" s="315"/>
      <c r="F269" s="350">
        <v>30800</v>
      </c>
      <c r="G269" s="855">
        <f>-4548744.2-25000</f>
        <v>-4573744.2</v>
      </c>
      <c r="H269" s="1059"/>
    </row>
    <row r="270" spans="1:12" ht="19.899999999999999" customHeight="1">
      <c r="A270" s="1004"/>
      <c r="B270" s="315"/>
      <c r="C270" s="315"/>
      <c r="D270" s="315"/>
      <c r="E270" s="315"/>
      <c r="F270" s="350"/>
      <c r="G270" s="366"/>
      <c r="H270" s="315"/>
    </row>
    <row r="271" spans="1:12" ht="19.899999999999999" customHeight="1">
      <c r="A271" s="1035" t="s">
        <v>245</v>
      </c>
      <c r="B271" s="1036"/>
      <c r="C271" s="1036"/>
      <c r="D271" s="1036"/>
      <c r="E271" s="1036"/>
      <c r="F271" s="1037"/>
      <c r="G271" s="1038">
        <f>G267+G269</f>
        <v>-3906158.2</v>
      </c>
      <c r="H271" s="1060"/>
    </row>
    <row r="272" spans="1:12">
      <c r="A272" s="368"/>
      <c r="B272" s="368"/>
      <c r="C272" s="368"/>
      <c r="D272" s="368"/>
      <c r="E272" s="368"/>
      <c r="F272" s="369"/>
      <c r="G272" s="370"/>
      <c r="H272" s="371"/>
      <c r="I272" s="371"/>
      <c r="J272" s="371"/>
      <c r="K272" s="371"/>
      <c r="L272" s="371"/>
    </row>
    <row r="273" spans="1:12" s="318" customFormat="1" ht="13.5" customHeight="1">
      <c r="A273" s="1131"/>
      <c r="B273" s="1131"/>
      <c r="C273" s="1131"/>
      <c r="D273" s="1131"/>
      <c r="E273" s="1131"/>
      <c r="F273" s="1131"/>
      <c r="G273" s="1131"/>
      <c r="H273" s="1131"/>
      <c r="I273" s="372"/>
      <c r="J273" s="372"/>
      <c r="K273" s="372"/>
      <c r="L273" s="372"/>
    </row>
    <row r="274" spans="1:12" s="318" customFormat="1">
      <c r="A274" s="1131"/>
      <c r="B274" s="1131"/>
      <c r="C274" s="1131"/>
      <c r="D274" s="1131"/>
      <c r="E274" s="1131"/>
      <c r="F274" s="1131"/>
      <c r="G274" s="1131"/>
      <c r="H274" s="1131"/>
      <c r="I274" s="372"/>
      <c r="J274" s="372"/>
      <c r="K274" s="372"/>
      <c r="L274" s="372"/>
    </row>
    <row r="275" spans="1:12" s="318" customFormat="1">
      <c r="A275" s="1131"/>
      <c r="B275" s="1131"/>
      <c r="C275" s="1131"/>
      <c r="D275" s="1131"/>
      <c r="E275" s="1131"/>
      <c r="F275" s="1131"/>
      <c r="G275" s="1131"/>
      <c r="H275" s="1131"/>
    </row>
  </sheetData>
  <sheetProtection algorithmName="SHA-512" hashValue="qFbakMGnIfuIv2CTxLAE6/9HslQQmfe3aOXgygDLi0FqZaelORtUaNTRDY8Vmiy+Suq7ml8W/HqA4aZfXu1fSg==" saltValue="MG7J51h8O2Jc3j8hCcs9E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2019-06-18T14:52:03Z</cp:lastPrinted>
  <dcterms:created xsi:type="dcterms:W3CDTF">2005-03-22T15:46:43Z</dcterms:created>
  <dcterms:modified xsi:type="dcterms:W3CDTF">2020-01-17T14:46:58Z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