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265" i="7" l="1"/>
  <c r="D11" i="15" l="1"/>
  <c r="D35" i="15" l="1"/>
  <c r="D16" i="15"/>
  <c r="C14" i="8" l="1"/>
  <c r="B14" i="8"/>
  <c r="C16" i="8" l="1"/>
  <c r="G197" i="7" l="1"/>
  <c r="G242" i="7"/>
  <c r="G212" i="7" l="1"/>
  <c r="G203" i="7"/>
  <c r="G202" i="7"/>
  <c r="G189" i="7"/>
  <c r="G170" i="7" l="1"/>
  <c r="G160" i="7"/>
  <c r="G151" i="7"/>
  <c r="G150" i="7"/>
  <c r="G59" i="7"/>
  <c r="G48" i="7" l="1"/>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E42" i="6" s="1"/>
  <c r="F42" i="6" s="1"/>
  <c r="G40" i="7" s="1"/>
  <c r="B37" i="5"/>
  <c r="E41" i="6" s="1"/>
  <c r="F41" i="6" s="1"/>
  <c r="G39" i="7" s="1"/>
  <c r="B35" i="5"/>
  <c r="B34" i="5"/>
  <c r="E39" i="6" s="1"/>
  <c r="F39" i="6" s="1"/>
  <c r="H37" i="5"/>
  <c r="E40" i="6"/>
  <c r="H35" i="5"/>
  <c r="I35" i="5" s="1"/>
  <c r="H34"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19" i="15"/>
  <c r="E137" i="15"/>
  <c r="E19" i="6"/>
  <c r="G10" i="6"/>
  <c r="D10" i="6" s="1"/>
  <c r="D17" i="6" s="1"/>
  <c r="B53" i="22"/>
  <c r="D75" i="22"/>
  <c r="E75" i="22"/>
  <c r="E65" i="22"/>
  <c r="D65" i="22"/>
  <c r="D67" i="22" s="1"/>
  <c r="D70" i="22" s="1"/>
  <c r="D59" i="22"/>
  <c r="B52" i="22"/>
  <c r="E33" i="22"/>
  <c r="E34" i="22" s="1"/>
  <c r="D33" i="22"/>
  <c r="D34" i="22"/>
  <c r="D26" i="22"/>
  <c r="D38" i="22"/>
  <c r="C38" i="22"/>
  <c r="E15" i="22"/>
  <c r="D15" i="22"/>
  <c r="B46" i="22"/>
  <c r="E26" i="22"/>
  <c r="E59" i="22"/>
  <c r="E60" i="22" s="1"/>
  <c r="E38" i="22"/>
  <c r="F10" i="6"/>
  <c r="E44" i="3" s="1"/>
  <c r="B29" i="5"/>
  <c r="H29" i="5" s="1"/>
  <c r="I29" i="5" s="1"/>
  <c r="G14" i="5"/>
  <c r="H14" i="5" s="1"/>
  <c r="G251" i="7"/>
  <c r="E15" i="8"/>
  <c r="E36" i="6"/>
  <c r="D36" i="6"/>
  <c r="F36" i="6" s="1"/>
  <c r="D43" i="6"/>
  <c r="E17" i="6"/>
  <c r="I34" i="5"/>
  <c r="F32" i="6"/>
  <c r="F35" i="6"/>
  <c r="F34" i="6"/>
  <c r="F33" i="6"/>
  <c r="F40" i="6"/>
  <c r="G38" i="7" s="1"/>
  <c r="G35" i="6"/>
  <c r="G34" i="6"/>
  <c r="G33" i="6"/>
  <c r="G32" i="6"/>
  <c r="H32" i="6" s="1"/>
  <c r="I37" i="5"/>
  <c r="G20" i="5"/>
  <c r="H20" i="5"/>
  <c r="G19" i="5"/>
  <c r="H19" i="5"/>
  <c r="G22" i="5"/>
  <c r="H22" i="5"/>
  <c r="G23" i="5"/>
  <c r="H23" i="5"/>
  <c r="E20" i="6"/>
  <c r="E21" i="6"/>
  <c r="D21" i="6" s="1"/>
  <c r="F21" i="6" s="1"/>
  <c r="G23" i="7" s="1"/>
  <c r="E22" i="6"/>
  <c r="E23" i="6"/>
  <c r="E24" i="6"/>
  <c r="F24" i="6" s="1"/>
  <c r="G26" i="7" s="1"/>
  <c r="G11" i="6"/>
  <c r="D11" i="6" s="1"/>
  <c r="G12" i="6"/>
  <c r="D12" i="6" s="1"/>
  <c r="F12" i="6" s="1"/>
  <c r="E46" i="3" s="1"/>
  <c r="G13" i="6"/>
  <c r="D13" i="6" s="1"/>
  <c r="F13" i="6" s="1"/>
  <c r="E47" i="3" s="1"/>
  <c r="G14" i="6"/>
  <c r="D14" i="6" s="1"/>
  <c r="G15" i="6"/>
  <c r="E20" i="12"/>
  <c r="E29" i="12"/>
  <c r="G193" i="7"/>
  <c r="D21" i="8"/>
  <c r="F11" i="6"/>
  <c r="E45" i="3" s="1"/>
  <c r="F14" i="6"/>
  <c r="E48" i="3" s="1"/>
  <c r="F15" i="6"/>
  <c r="H15" i="6" s="1"/>
  <c r="G17" i="7" s="1"/>
  <c r="E49" i="3"/>
  <c r="C94" i="12"/>
  <c r="B31" i="5"/>
  <c r="H31" i="5" s="1"/>
  <c r="I31" i="5" s="1"/>
  <c r="B30" i="5"/>
  <c r="H30" i="5" s="1"/>
  <c r="I30" i="5" s="1"/>
  <c r="G16" i="5"/>
  <c r="H16" i="5" s="1"/>
  <c r="G15" i="5"/>
  <c r="H15" i="5" s="1"/>
  <c r="D96" i="8"/>
  <c r="C96" i="8"/>
  <c r="B69" i="6"/>
  <c r="C93" i="3" s="1"/>
  <c r="G103" i="7"/>
  <c r="G113" i="7"/>
  <c r="G117" i="7"/>
  <c r="G126" i="7"/>
  <c r="G139" i="7"/>
  <c r="E19" i="4"/>
  <c r="E73" i="3"/>
  <c r="B21" i="8"/>
  <c r="C21" i="8"/>
  <c r="E10" i="8"/>
  <c r="E12" i="8"/>
  <c r="E16" i="8"/>
  <c r="E17" i="8"/>
  <c r="E18" i="8"/>
  <c r="E19" i="8"/>
  <c r="E20" i="8"/>
  <c r="E36" i="4"/>
  <c r="C127" i="3" s="1"/>
  <c r="D33" i="4"/>
  <c r="B60" i="6"/>
  <c r="C96" i="3" s="1"/>
  <c r="E26" i="4"/>
  <c r="E16" i="4"/>
  <c r="G267" i="7"/>
  <c r="G271" i="7" s="1"/>
  <c r="C120" i="3" s="1"/>
  <c r="G94" i="7"/>
  <c r="E66" i="22"/>
  <c r="E70" i="22" s="1"/>
  <c r="E67" i="22"/>
  <c r="D66" i="22"/>
  <c r="D68" i="22" s="1"/>
  <c r="D61" i="22"/>
  <c r="D60" i="22"/>
  <c r="D62" i="22"/>
  <c r="E61" i="22"/>
  <c r="E62" i="22"/>
  <c r="H10" i="6"/>
  <c r="D124" i="15" s="1"/>
  <c r="E14" i="8"/>
  <c r="H34" i="6"/>
  <c r="G32" i="7" s="1"/>
  <c r="C95" i="3"/>
  <c r="H35" i="6"/>
  <c r="G33" i="7" s="1"/>
  <c r="G236" i="7"/>
  <c r="C112" i="3" s="1"/>
  <c r="E30" i="12"/>
  <c r="H33" i="6"/>
  <c r="C128" i="3"/>
  <c r="C132" i="3" s="1"/>
  <c r="E69" i="22"/>
  <c r="E68" i="22"/>
  <c r="G31" i="7"/>
  <c r="V117" i="23"/>
  <c r="X141" i="23"/>
  <c r="F43" i="6" l="1"/>
  <c r="G37" i="7"/>
  <c r="G42" i="7" s="1"/>
  <c r="H36" i="6"/>
  <c r="G30" i="7"/>
  <c r="G35" i="7" s="1"/>
  <c r="H11" i="6"/>
  <c r="G13" i="7" s="1"/>
  <c r="F23" i="6"/>
  <c r="G25" i="7" s="1"/>
  <c r="D23" i="6"/>
  <c r="E72" i="3" s="1"/>
  <c r="D20" i="6"/>
  <c r="E69" i="3" s="1"/>
  <c r="D69" i="22"/>
  <c r="C113" i="3"/>
  <c r="D22" i="6"/>
  <c r="E71" i="3" s="1"/>
  <c r="E70" i="3"/>
  <c r="D19" i="6"/>
  <c r="F102" i="15"/>
  <c r="H38" i="5"/>
  <c r="I38" i="5" s="1"/>
  <c r="E57" i="23"/>
  <c r="C92" i="3"/>
  <c r="B70" i="6"/>
  <c r="D119" i="15"/>
  <c r="F119" i="15" s="1"/>
  <c r="F57" i="15"/>
  <c r="C121" i="3"/>
  <c r="E21" i="8"/>
  <c r="G253" i="7"/>
  <c r="C111" i="3"/>
  <c r="H14" i="6"/>
  <c r="G16" i="7" s="1"/>
  <c r="H13" i="6"/>
  <c r="G15" i="7" s="1"/>
  <c r="H12" i="6"/>
  <c r="G14" i="7" s="1"/>
  <c r="F17" i="6"/>
  <c r="E50" i="3" s="1"/>
  <c r="D106" i="3"/>
  <c r="G12" i="7"/>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44" i="3"/>
  <c r="C137" i="3"/>
  <c r="F124" i="15"/>
  <c r="D35" i="23"/>
  <c r="G75" i="7"/>
  <c r="E102" i="3" s="1"/>
  <c r="E106" i="3" s="1"/>
  <c r="F104" i="3"/>
  <c r="E68" i="3" l="1"/>
  <c r="E74" i="3" s="1"/>
  <c r="D26" i="6"/>
  <c r="F22" i="6"/>
  <c r="G24" i="7" s="1"/>
  <c r="F20" i="6"/>
  <c r="G22" i="7" s="1"/>
  <c r="F71" i="3"/>
  <c r="G71" i="3" s="1"/>
  <c r="F19" i="6"/>
  <c r="H44" i="6"/>
  <c r="C114" i="3"/>
  <c r="E25" i="4"/>
  <c r="E28" i="4" s="1"/>
  <c r="G19" i="7"/>
  <c r="H17" i="6"/>
  <c r="D45" i="3"/>
  <c r="F45" i="3" s="1"/>
  <c r="G45" i="3" s="1"/>
  <c r="AO119" i="23"/>
  <c r="AO120" i="23" s="1"/>
  <c r="AO122" i="23" s="1"/>
  <c r="T141" i="23"/>
  <c r="F68" i="3"/>
  <c r="G68" i="3" s="1"/>
  <c r="F44" i="3"/>
  <c r="G44" i="3" s="1"/>
  <c r="D99" i="23"/>
  <c r="F99" i="23"/>
  <c r="E99" i="23"/>
  <c r="D74" i="3"/>
  <c r="F74" i="3" s="1"/>
  <c r="G74" i="3" s="1"/>
  <c r="F102" i="3"/>
  <c r="F106" i="3" s="1"/>
  <c r="G85" i="7"/>
  <c r="D125" i="15" l="1"/>
  <c r="G21" i="7"/>
  <c r="G28" i="7" s="1"/>
  <c r="G44" i="7" s="1"/>
  <c r="G63" i="7" s="1"/>
  <c r="G141" i="7" s="1"/>
  <c r="E18" i="4" s="1"/>
  <c r="E21" i="4" s="1"/>
  <c r="E23" i="4" s="1"/>
  <c r="D32" i="4" s="1"/>
  <c r="E35" i="4" s="1"/>
  <c r="E38" i="4" s="1"/>
  <c r="F26" i="6"/>
  <c r="H27" i="6"/>
  <c r="H46" i="6" s="1"/>
  <c r="D50" i="3"/>
  <c r="F50" i="3" s="1"/>
  <c r="G50" i="3" s="1"/>
  <c r="C34" i="3" l="1"/>
  <c r="D135" i="15"/>
  <c r="D137" i="15" s="1"/>
  <c r="C147" i="3"/>
  <c r="F125" i="15"/>
  <c r="F135" i="15" s="1"/>
  <c r="C139" i="3"/>
  <c r="E44" i="4"/>
  <c r="C17" i="3" s="1"/>
  <c r="C153" i="3" l="1"/>
  <c r="F137" i="15"/>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<sst xmlns="http://schemas.openxmlformats.org/spreadsheetml/2006/main" count="1305" uniqueCount="789">
  <si>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</si>
  <si>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</si>
  <si>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</si>
  <si>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</si>
  <si>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</si>
  <si>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</si>
  <si>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</si>
  <si>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</si>
  <si>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</si>
  <si>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</si>
  <si>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</si>
  <si>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</si>
  <si>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</si>
  <si>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</si>
  <si>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</si>
  <si>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</si>
  <si>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</si>
  <si>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</si>
  <si>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</si>
  <si>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</si>
  <si>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</si>
  <si>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</si>
  <si>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</si>
  <si>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</si>
  <si>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</si>
  <si>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</si>
  <si>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</si>
  <si>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</si>
  <si>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</si>
  <si>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</si>
  <si>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</si>
  <si>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</si>
  <si>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</si>
  <si>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</si>
  <si>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</si>
  <si>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</si>
  <si>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</si>
  <si>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</si>
  <si>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</si>
  <si>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</si>
  <si>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</si>
  <si>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</si>
  <si>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</si>
  <si>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</si>
  <si>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</si>
  <si>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</si>
  <si>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</si>
  <si>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</si>
  <si>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</si>
  <si>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</si>
  <si>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</si>
  <si>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</si>
  <si>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</si>
  <si>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</si>
  <si>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</si>
  <si>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</si>
  <si>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</si>
  <si>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</si>
  <si>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</si>
  <si>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</si>
  <si>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</si>
  <si>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</si>
  <si>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</si>
  <si>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</si>
  <si>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</si>
  <si>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</si>
  <si>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</si>
  <si>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</si>
  <si>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</si>
  <si>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</si>
  <si>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</si>
  <si>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</si>
  <si>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</si>
  <si>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</si>
  <si>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</si>
  <si>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</si>
  <si>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</si>
  <si>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</si>
  <si>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</si>
  <si>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</si>
  <si>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</si>
  <si>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</si>
  <si>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</si>
  <si>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</si>
  <si>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</si>
  <si>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</si>
  <si>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</si>
  <si>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</si>
  <si>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</si>
  <si>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</si>
  <si>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</si>
  <si>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</si>
  <si>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</si>
  <si>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</si>
  <si>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</si>
  <si>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</si>
  <si>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</si>
  <si>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</si>
  <si>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</si>
  <si>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</si>
  <si>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</si>
  <si>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</si>
  <si>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</si>
  <si>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</si>
  <si>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</si>
  <si>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</si>
  <si>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</si>
  <si>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</si>
  <si>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</si>
  <si>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</si>
  <si>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</si>
  <si>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</si>
  <si>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</si>
  <si>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</si>
  <si>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</si>
  <si>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</si>
  <si>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</si>
  <si>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</si>
  <si>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</si>
  <si>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</si>
  <si>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</si>
  <si>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</si>
  <si>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</si>
  <si>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</si>
  <si>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</si>
  <si>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</si>
  <si>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</si>
  <si>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</si>
  <si>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</si>
  <si>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</si>
  <si>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</si>
  <si>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</si>
  <si>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</si>
  <si>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</si>
  <si>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</si>
  <si>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</si>
  <si>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</si>
  <si>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</si>
  <si>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</si>
  <si>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</si>
  <si>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</si>
  <si>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</si>
  <si>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</si>
  <si>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</si>
  <si>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</si>
  <si>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</si>
  <si>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</si>
  <si>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</si>
  <si>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</si>
  <si>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</si>
  <si>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</si>
  <si>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</si>
  <si>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</si>
  <si>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</si>
  <si>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</si>
  <si>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</si>
  <si>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</si>
  <si>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</si>
  <si>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</si>
  <si>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</si>
  <si>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</si>
  <si>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</si>
  <si>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</si>
  <si>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</si>
  <si>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</si>
  <si>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</si>
  <si>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</si>
  <si>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</si>
  <si>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</si>
  <si>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</si>
  <si>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</si>
  <si>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</si>
  <si>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</si>
  <si>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</si>
  <si>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</si>
  <si>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</si>
  <si>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</si>
  <si>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</si>
  <si>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</si>
  <si>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</si>
  <si>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</si>
  <si>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</si>
  <si>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</si>
  <si>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</si>
  <si>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</si>
  <si>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</si>
  <si>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</si>
  <si>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</si>
  <si>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</si>
  <si>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</si>
  <si>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</si>
  <si>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</si>
  <si>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</si>
  <si>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</si>
  <si>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</si>
  <si>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</si>
  <si>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</si>
  <si>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</si>
  <si>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</si>
  <si>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</si>
  <si>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</si>
  <si>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</si>
  <si>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</si>
  <si>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</si>
  <si>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</si>
  <si>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</si>
  <si>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</si>
  <si>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</si>
  <si>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</si>
  <si>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</si>
  <si>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</si>
  <si>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</si>
  <si>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</si>
  <si>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</si>
  <si>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</si>
  <si>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</si>
  <si>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</si>
  <si>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</si>
  <si>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</si>
  <si>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</si>
  <si>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</si>
  <si>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</si>
  <si>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</si>
  <si>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</si>
  <si>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</si>
  <si>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</si>
  <si>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</si>
  <si>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</si>
  <si>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</si>
  <si>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</si>
  <si>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</si>
  <si>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</si>
  <si>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</si>
  <si>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</si>
  <si>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</si>
  <si>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</si>
  <si>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</si>
  <si>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</si>
  <si>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</si>
  <si>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</si>
  <si>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</si>
  <si>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</si>
  <si>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</si>
  <si>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</si>
  <si>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</si>
  <si>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</si>
  <si>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</si>
  <si>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</si>
  <si>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</si>
  <si>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</si>
  <si>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</si>
  <si>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</si>
  <si>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</si>
  <si>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</si>
  <si>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</si>
  <si>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</si>
  <si>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</si>
  <si>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</si>
  <si>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</si>
  <si>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</si>
  <si>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</si>
  <si>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</si>
  <si>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</si>
  <si>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</si>
  <si>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</si>
  <si>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</si>
  <si>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</si>
  <si>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</si>
  <si>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</si>
  <si>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</si>
  <si>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</si>
  <si>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</si>
  <si>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</si>
  <si>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</si>
  <si>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</si>
  <si>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</si>
  <si>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</si>
  <si>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</si>
  <si>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</si>
  <si>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</si>
  <si>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</si>
  <si>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</si>
  <si>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</si>
  <si>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</si>
  <si>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</si>
  <si>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</si>
  <si>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</si>
  <si>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</si>
  <si>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</si>
  <si>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</si>
  <si>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</si>
  <si>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</si>
  <si>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</si>
  <si>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</si>
  <si>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</si>
  <si>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</si>
  <si>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</si>
  <si>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</si>
  <si>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</si>
  <si>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</si>
  <si>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</si>
  <si>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</si>
  <si>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</si>
  <si>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</si>
  <si>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</si>
  <si>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</si>
  <si>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</si>
  <si>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</si>
  <si>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</si>
  <si>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</si>
  <si>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</si>
  <si>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</si>
  <si>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</si>
  <si>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</si>
  <si>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</si>
  <si>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</si>
  <si>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</si>
  <si>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</si>
  <si>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</si>
  <si>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</si>
  <si>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</si>
  <si>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</si>
  <si>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</si>
  <si>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</si>
  <si>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</si>
  <si>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</si>
  <si>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</si>
  <si>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</si>
  <si>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</si>
  <si>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</si>
  <si>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</si>
  <si>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</si>
  <si>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</si>
  <si>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</si>
  <si>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</si>
  <si>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</si>
  <si>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</si>
  <si>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</si>
  <si>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</si>
  <si>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</si>
  <si>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</si>
  <si>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</si>
  <si>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</si>
  <si>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</si>
  <si>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</si>
  <si>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</si>
  <si>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</si>
  <si>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</si>
  <si>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</si>
  <si>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</si>
  <si>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</si>
  <si>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</si>
  <si>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</si>
  <si>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</si>
  <si>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</si>
  <si>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</si>
  <si>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</si>
  <si>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</si>
  <si>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</si>
  <si>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</si>
  <si>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</si>
  <si>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</si>
  <si>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</si>
  <si>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</si>
  <si>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</si>
  <si>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</si>
  <si>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</si>
  <si>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</si>
  <si>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</si>
  <si>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</si>
  <si>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</si>
  <si>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</si>
  <si>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</si>
  <si>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</si>
  <si>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</si>
  <si>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</si>
  <si>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</si>
  <si>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</si>
  <si>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</si>
  <si>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</si>
  <si>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</si>
  <si>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</si>
  <si>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</si>
  <si>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</si>
  <si>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</si>
  <si>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</si>
  <si>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</si>
  <si>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</si>
  <si>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</si>
  <si>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</si>
  <si>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</si>
  <si>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</si>
  <si>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</si>
  <si>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</si>
  <si>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</si>
  <si>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</si>
  <si>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</si>
  <si>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</si>
  <si>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</si>
  <si>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</si>
  <si>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</si>
  <si>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</si>
  <si>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</si>
  <si>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</si>
  <si>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</si>
  <si>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</si>
  <si>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</si>
  <si>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</si>
  <si>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</si>
  <si>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</si>
  <si>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</si>
  <si>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</si>
  <si>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</si>
  <si>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</si>
  <si>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</si>
  <si>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</si>
  <si>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</si>
  <si>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</si>
  <si>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</si>
  <si>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</si>
  <si>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</si>
  <si>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</si>
  <si>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</si>
  <si>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</si>
  <si>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</si>
  <si>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</si>
  <si>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</si>
  <si>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</si>
  <si>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</si>
  <si>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</si>
  <si>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</si>
  <si>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</si>
  <si>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</si>
  <si>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</si>
  <si>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</si>
  <si>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</si>
  <si>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</si>
  <si>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</si>
  <si>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</si>
  <si>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</si>
  <si>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</si>
  <si>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</si>
  <si>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</si>
  <si>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</si>
  <si>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</si>
  <si>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</si>
  <si>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</si>
  <si>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</si>
  <si>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</si>
  <si>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</si>
  <si>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</si>
  <si>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</si>
  <si>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</si>
  <si>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</si>
  <si>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</si>
  <si>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</si>
  <si>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</si>
  <si>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</si>
  <si>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</si>
  <si>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</si>
  <si>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</si>
  <si>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</si>
  <si>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</si>
  <si>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</si>
  <si>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</si>
  <si>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</si>
  <si>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</si>
  <si>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</si>
  <si>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</si>
  <si>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</si>
  <si>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</si>
  <si>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</si>
  <si>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</si>
  <si>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</si>
  <si>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</si>
  <si>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</si>
  <si>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</si>
  <si>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</si>
  <si>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</si>
  <si>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</si>
  <si>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</si>
  <si>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</si>
  <si>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</si>
  <si>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</si>
  <si>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</si>
  <si>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</si>
  <si>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</si>
  <si>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</si>
  <si>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</si>
  <si>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</si>
  <si>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</si>
  <si>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</si>
  <si>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</si>
  <si>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</si>
  <si>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</si>
  <si>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</si>
  <si>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</si>
  <si>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</si>
  <si>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</si>
  <si>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</si>
  <si>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</si>
  <si>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</si>
  <si>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</si>
  <si>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</si>
  <si>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</si>
  <si>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</si>
  <si>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</si>
  <si>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</si>
  <si>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</si>
  <si>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</si>
  <si>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</si>
  <si>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</si>
  <si>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</si>
  <si>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</si>
  <si>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</si>
  <si>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</si>
  <si>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</si>
  <si>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</si>
  <si>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</si>
  <si>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</si>
  <si>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</si>
  <si>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</si>
  <si>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</si>
  <si>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</si>
  <si>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</si>
  <si>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</si>
  <si>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</si>
  <si>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</si>
  <si>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</si>
  <si>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</si>
  <si>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</si>
  <si>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</si>
  <si>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</si>
  <si>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</si>
  <si>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</si>
  <si>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</si>
  <si>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</si>
  <si>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</si>
  <si>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</si>
  <si>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</si>
  <si>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</si>
  <si>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</si>
  <si>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</si>
  <si>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</si>
  <si>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</si>
  <si>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</si>
  <si>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</si>
  <si>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</si>
  <si>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</si>
  <si>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</si>
  <si>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</si>
  <si>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</si>
  <si>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</si>
  <si>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</si>
  <si>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</si>
  <si>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</si>
  <si>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</si>
  <si>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</si>
  <si>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</si>
  <si>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</si>
  <si>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</si>
  <si>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</si>
  <si>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</si>
  <si>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</si>
  <si>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</si>
  <si>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</si>
  <si>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</si>
  <si>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</si>
  <si>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</si>
  <si>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</si>
  <si>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</si>
  <si>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</si>
  <si>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</si>
  <si>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</si>
  <si>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</si>
  <si>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</si>
  <si>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</si>
  <si>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</si>
  <si>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</si>
  <si>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</si>
  <si>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</si>
  <si>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</si>
  <si>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</si>
  <si>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</si>
  <si>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</si>
  <si>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</si>
  <si>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</si>
  <si>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</si>
  <si>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</si>
  <si>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</si>
  <si>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</si>
  <si>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</si>
  <si>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</si>
  <si>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</si>
  <si>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</si>
  <si>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</si>
  <si>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</si>
  <si>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</si>
  <si>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</si>
  <si>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</si>
  <si>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</si>
  <si>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</si>
  <si>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</si>
  <si>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</si>
  <si>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</si>
  <si>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</si>
  <si>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</si>
  <si>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</si>
  <si>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</si>
  <si>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</si>
  <si>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</si>
  <si>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</si>
  <si>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</si>
  <si>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</si>
  <si>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</si>
  <si>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</si>
  <si>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</si>
  <si>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</si>
  <si>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</si>
  <si>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</si>
  <si>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</si>
  <si>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</si>
  <si>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</si>
  <si>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</si>
  <si>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</si>
  <si>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</si>
  <si>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</si>
  <si>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</si>
  <si>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</si>
  <si>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</si>
  <si>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</si>
  <si>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</si>
  <si>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</si>
  <si>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</si>
  <si>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</si>
  <si>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</si>
  <si>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</si>
  <si>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</si>
  <si>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</si>
  <si>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</si>
  <si>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</si>
  <si>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</si>
  <si>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</si>
  <si>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</si>
  <si>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</si>
  <si>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</si>
  <si>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</si>
  <si>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</si>
  <si>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</si>
  <si>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</si>
  <si>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</si>
  <si>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</si>
  <si>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</si>
  <si>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</si>
  <si>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</si>
  <si>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</si>
  <si>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</si>
  <si>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</si>
  <si>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</si>
  <si>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</si>
  <si>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</si>
  <si>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</si>
  <si>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</si>
  <si>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</si>
  <si>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</si>
  <si>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</si>
  <si>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</si>
  <si>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</si>
  <si>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</si>
  <si>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</si>
  <si>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</si>
  <si>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</si>
  <si>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</si>
  <si>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</si>
  <si>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</si>
  <si>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</si>
  <si>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</si>
  <si>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</si>
  <si>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</si>
  <si>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</si>
  <si>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</si>
  <si>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</si>
  <si>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</si>
  <si>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</si>
  <si>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</si>
  <si>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</si>
  <si>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</si>
  <si>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</si>
  <si>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</si>
  <si>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</si>
  <si>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</si>
  <si>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</si>
  <si>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</si>
  <si>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</si>
  <si>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</si>
  <si>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</si>
  <si>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</si>
  <si>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</si>
  <si>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</si>
  <si>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</si>
  <si>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</si>
  <si>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</si>
  <si>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</si>
  <si>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</si>
  <si>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</si>
  <si>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</si>
  <si>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</si>
  <si>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</si>
  <si>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</si>
  <si>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</si>
  <si>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</si>
  <si>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</si>
  <si>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</si>
  <si>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</si>
  <si>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</si>
  <si>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</si>
  <si>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</si>
  <si>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</si>
  <si>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</si>
  <si>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</si>
  <si>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</si>
  <si>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</si>
  <si>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</si>
  <si>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</si>
  <si>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</si>
  <si>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</si>
  <si>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</si>
  <si>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</si>
  <si>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</si>
  <si>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</si>
  <si>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</si>
  <si>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</si>
  <si>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</si>
  <si>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</si>
  <si>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</si>
  <si>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</si>
  <si>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</si>
  <si>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</si>
  <si>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</si>
  <si>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</si>
  <si>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</si>
  <si>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</si>
  <si>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</si>
  <si>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</si>
  <si>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</si>
  <si>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</si>
  <si>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</si>
  <si>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</si>
  <si>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</si>
  <si>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</si>
  <si>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</si>
  <si>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</si>
  <si>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</si>
  <si>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</si>
  <si>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</si>
  <si>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</si>
  <si>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</si>
  <si>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</si>
  <si>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</si>
  <si>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</si>
  <si>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</si>
  <si>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</si>
  <si>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</si>
  <si>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</si>
  <si>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</si>
  <si>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</si>
  <si>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</si>
  <si>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</si>
  <si>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</si>
  <si>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</si>
  <si>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</si>
  <si>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</si>
  <si>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</si>
  <si>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</si>
  <si>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</si>
  <si>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</si>
  <si>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</si>
  <si>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</si>
  <si>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</si>
  <si>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</si>
  <si>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</si>
  <si>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</si>
  <si>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</si>
  <si>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</si>
  <si>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</si>
  <si>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Fund 1</t>
  </si>
  <si>
    <t>Fund 3</t>
  </si>
  <si>
    <t>An increase in Out-Of-State students is projected due to increased recruiting efforts.</t>
  </si>
  <si>
    <t>The college bases their budget projections on revenue and not necessarily credit hours/FTE which accounts for the slight %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</si>
</sst>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8">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0" fontId="78" fillId="37" borderId="0" xfId="0" applyFont="1" applyFill="1" applyAlignment="1">
      <alignment horizontal="center" vertical="center" wrapText="1"/>
    </xf>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Continuous"/>
      <protection locked="0"/>
    </xf>
    <xf numFmtId="0" fontId="175" fillId="32" borderId="305" xfId="0" applyFont="1" applyFill="1" applyBorder="1" applyAlignment="1" applyProtection="1">
      <alignment horizontal="centerContinuous"/>
      <protection locked="0"/>
    </xf>
    <xf numFmtId="0" fontId="175" fillId="32" borderId="362" xfId="0" applyFont="1" applyFill="1" applyBorder="1" applyAlignment="1" applyProtection="1">
      <alignment horizontal="centerContinuous"/>
      <protection locked="0"/>
    </xf>
    <xf numFmtId="0" fontId="79" fillId="29" borderId="155" xfId="0" applyFont="1" applyFill="1" applyBorder="1" applyAlignment="1">
      <alignment horizontal="centerContinuous"/>
    </xf>
    <xf numFmtId="0" fontId="175" fillId="32" borderId="363" xfId="0" applyFont="1" applyFill="1" applyBorder="1" applyAlignment="1" applyProtection="1">
      <alignment horizontal="centerContinuous"/>
      <protection locked="0"/>
    </xf>
    <xf numFmtId="0" fontId="79" fillId="34" borderId="155" xfId="0" applyFont="1" applyFill="1" applyBorder="1" applyAlignment="1">
      <alignment horizontal="centerContinuous"/>
    </xf>
    <xf numFmtId="0" fontId="81" fillId="0" borderId="0" xfId="0" applyFont="1" applyAlignment="1">
      <alignment horizontal="centerContinuous" wrapText="1"/>
    </xf>
    <xf numFmtId="0" fontId="107" fillId="0" borderId="0" xfId="0" applyFont="1" applyAlignment="1" applyProtection="1">
      <alignment horizontal="centerContinuous"/>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44" fillId="32" borderId="22" xfId="0" applyFont="1" applyFill="1" applyBorder="1" applyAlignment="1" applyProtection="1">
      <alignment horizontal="centerContinuous"/>
    </xf>
    <xf numFmtId="0" fontId="81" fillId="30" borderId="24" xfId="0" applyFont="1" applyFill="1" applyBorder="1" applyAlignment="1">
      <alignment horizontal="centerContinuous" wrapText="1"/>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37" fontId="134" fillId="32" borderId="0" xfId="0" applyNumberFormat="1" applyFont="1" applyFill="1" applyBorder="1" applyAlignment="1" applyProtection="1">
      <alignment horizontal="centerContinuous"/>
    </xf>
    <xf numFmtId="5" fontId="152" fillId="32" borderId="0" xfId="0" applyNumberFormat="1" applyFont="1" applyFill="1" applyBorder="1" applyAlignment="1" applyProtection="1">
      <alignment horizontal="centerContinuous"/>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3" t="s">
        <v>277</v>
      </c>
      <c r="B1" s="1203"/>
      <c r="C1" s="1203"/>
      <c r="D1" s="1203"/>
      <c r="E1" s="1203"/>
    </row>
    <row r="2" spans="1:5" ht="23.25">
      <c r="A2" s="1203" t="s">
        <v>524</v>
      </c>
      <c r="B2" s="1203"/>
      <c r="C2" s="1203"/>
      <c r="D2" s="1203"/>
      <c r="E2" s="1203"/>
    </row>
    <row r="3" spans="1:5" ht="23.25">
      <c r="A3" s="1203" t="s">
        <v>443</v>
      </c>
      <c r="B3" s="1203"/>
      <c r="C3" s="1203"/>
      <c r="D3" s="1203"/>
      <c r="E3" s="1203"/>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4" t="s">
        <v>515</v>
      </c>
      <c r="B10" s="21"/>
      <c r="C10" s="23" t="s">
        <v>507</v>
      </c>
      <c r="D10" s="24"/>
      <c r="E10" s="20" t="s">
        <v>517</v>
      </c>
    </row>
    <row r="11" spans="1:5" s="5" customFormat="1" ht="20.100000000000001" customHeight="1">
      <c r="A11" s="1204"/>
      <c r="B11" s="21"/>
      <c r="C11" s="21"/>
      <c r="D11" s="24"/>
      <c r="E11" s="21"/>
    </row>
    <row r="12" spans="1:5" ht="20.100000000000001" customHeight="1">
      <c r="A12" s="25"/>
      <c r="B12" s="25"/>
      <c r="C12" s="25"/>
      <c r="D12" s="26"/>
      <c r="E12" s="25"/>
    </row>
    <row r="13" spans="1:5" ht="20.100000000000001" customHeight="1">
      <c r="A13" s="1205" t="s">
        <v>519</v>
      </c>
      <c r="B13" s="25"/>
      <c r="C13" s="25"/>
      <c r="D13" s="26"/>
      <c r="E13" s="25"/>
    </row>
    <row r="14" spans="1:5" ht="20.100000000000001" customHeight="1">
      <c r="A14" s="1205"/>
      <c r="B14" s="25"/>
      <c r="C14" s="25"/>
      <c r="D14" s="25"/>
      <c r="E14" s="25"/>
    </row>
    <row r="15" spans="1:5" ht="20.100000000000001" customHeight="1">
      <c r="A15" s="1205"/>
      <c r="B15" s="25"/>
      <c r="C15" s="25"/>
      <c r="D15" s="25"/>
      <c r="E15" s="25"/>
    </row>
    <row r="16" spans="1:5" ht="20.100000000000001" customHeight="1">
      <c r="A16" s="1205"/>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K13" sqref="K13"/>
    </sheetView>
  </sheetViews>
  <sheetFormatPr defaultColWidth="9.140625" defaultRowHeight="23.25"/>
  <cols>
    <col min="1" max="1" width="57.42578125" style="645" bestFit="1" customWidth="1"/>
    <col min="2" max="2" width="20.7109375" style="645" customWidth="1"/>
    <col min="3" max="3" width="24.5703125" style="645" customWidth="1"/>
    <col min="4" max="4" width="17.5703125" style="645" customWidth="1"/>
    <col min="5" max="5" width="19.85546875" style="645" customWidth="1"/>
    <col min="6" max="6" width="7.42578125" style="645" customWidth="1"/>
    <col min="7" max="16384" width="9.140625" style="645"/>
  </cols>
  <sheetData>
    <row r="1" spans="1:8" ht="24" customHeight="1">
      <c r="A1" s="656"/>
      <c r="B1" s="656"/>
      <c r="C1" s="656"/>
      <c r="D1" s="656"/>
      <c r="E1" s="657" t="s">
        <v>198</v>
      </c>
      <c r="F1" s="656"/>
    </row>
    <row r="2" spans="1:8" ht="24" customHeight="1">
      <c r="A2" s="1318"/>
      <c r="B2" s="1318"/>
      <c r="C2" s="1318"/>
      <c r="D2" s="1318"/>
      <c r="E2" s="1319"/>
      <c r="F2" s="656"/>
    </row>
    <row r="3" spans="1:8" ht="24" customHeight="1" thickBot="1">
      <c r="A3" s="1314" t="s">
        <v>15</v>
      </c>
      <c r="B3" s="1292" t="str">
        <f>'CHECK SHEET'!D7</f>
        <v>Florida SouthWestern State College</v>
      </c>
      <c r="C3" s="1292"/>
      <c r="D3" s="1292"/>
      <c r="E3" s="1292"/>
      <c r="F3" s="658"/>
      <c r="G3" s="650"/>
    </row>
    <row r="4" spans="1:8" ht="24" customHeight="1">
      <c r="A4" s="1288" t="s">
        <v>199</v>
      </c>
      <c r="B4" s="1288"/>
      <c r="C4" s="1288"/>
      <c r="D4" s="1288"/>
      <c r="E4" s="1288"/>
      <c r="F4" s="696"/>
    </row>
    <row r="5" spans="1:8" ht="24" customHeight="1">
      <c r="A5" s="1288" t="s">
        <v>200</v>
      </c>
      <c r="B5" s="1288"/>
      <c r="C5" s="1288"/>
      <c r="D5" s="1288"/>
      <c r="E5" s="1288"/>
      <c r="F5" s="696"/>
    </row>
    <row r="6" spans="1:8" ht="24" customHeight="1">
      <c r="A6" s="1320" t="s">
        <v>736</v>
      </c>
      <c r="B6" s="1320"/>
      <c r="C6" s="1320"/>
      <c r="D6" s="1320"/>
      <c r="E6" s="1320"/>
      <c r="F6" s="697"/>
    </row>
    <row r="7" spans="1:8" ht="20.100000000000001" customHeight="1">
      <c r="A7" s="651"/>
      <c r="B7" s="651"/>
      <c r="C7" s="651"/>
      <c r="D7" s="652"/>
      <c r="E7" s="652"/>
      <c r="F7" s="649"/>
    </row>
    <row r="8" spans="1:8" ht="24" customHeight="1" thickBot="1">
      <c r="A8" s="1321" t="s">
        <v>669</v>
      </c>
      <c r="B8" s="1321"/>
      <c r="C8" s="1321"/>
      <c r="D8" s="652"/>
      <c r="E8" s="652"/>
      <c r="F8" s="649"/>
      <c r="H8" s="653"/>
    </row>
    <row r="9" spans="1:8" s="50" customFormat="1" ht="64.150000000000006" customHeight="1" thickBot="1">
      <c r="A9" s="548" t="s">
        <v>201</v>
      </c>
      <c r="B9" s="1122" t="s">
        <v>660</v>
      </c>
      <c r="C9" s="1322" t="s">
        <v>661</v>
      </c>
      <c r="D9" s="586" t="s">
        <v>659</v>
      </c>
      <c r="E9" s="692" t="s">
        <v>2</v>
      </c>
      <c r="F9" s="698"/>
      <c r="H9" s="689"/>
    </row>
    <row r="10" spans="1:8" s="50" customFormat="1" ht="19.899999999999999" customHeight="1">
      <c r="A10" s="719" t="s">
        <v>676</v>
      </c>
      <c r="B10" s="858">
        <v>28474431</v>
      </c>
      <c r="C10" s="859">
        <v>2476224</v>
      </c>
      <c r="D10" s="859">
        <v>4500</v>
      </c>
      <c r="E10" s="720">
        <f>SUM(B10:D10)</f>
        <v>30955155</v>
      </c>
      <c r="F10" s="690"/>
      <c r="G10" s="689"/>
    </row>
    <row r="11" spans="1:8" s="50" customFormat="1" ht="19.899999999999999" customHeight="1">
      <c r="A11" s="719" t="s">
        <v>202</v>
      </c>
      <c r="B11" s="860">
        <v>0</v>
      </c>
      <c r="C11" s="847">
        <v>0</v>
      </c>
      <c r="D11" s="847">
        <v>0</v>
      </c>
      <c r="E11" s="721">
        <v>0</v>
      </c>
      <c r="F11" s="690"/>
      <c r="G11" s="689"/>
      <c r="H11" s="689"/>
    </row>
    <row r="12" spans="1:8" s="50" customFormat="1" ht="19.899999999999999" customHeight="1" thickBot="1">
      <c r="A12" s="719" t="s">
        <v>203</v>
      </c>
      <c r="B12" s="860">
        <v>0</v>
      </c>
      <c r="C12" s="847">
        <v>0</v>
      </c>
      <c r="D12" s="847">
        <v>0</v>
      </c>
      <c r="E12" s="721">
        <f>SUM(B12:D12)</f>
        <v>0</v>
      </c>
      <c r="F12" s="690"/>
    </row>
    <row r="13" spans="1:8" s="50" customFormat="1" ht="19.899999999999999" customHeight="1" thickBot="1">
      <c r="A13" s="719" t="s">
        <v>209</v>
      </c>
      <c r="B13" s="722"/>
      <c r="C13" s="723"/>
      <c r="D13" s="723"/>
      <c r="E13" s="724"/>
      <c r="F13" s="690"/>
    </row>
    <row r="14" spans="1:8" s="50" customFormat="1" ht="19.899999999999999" customHeight="1">
      <c r="A14" s="719" t="s">
        <v>211</v>
      </c>
      <c r="B14" s="860">
        <f>5673703-B15</f>
        <v>5421317</v>
      </c>
      <c r="C14" s="861">
        <f>994269-C15</f>
        <v>558427</v>
      </c>
      <c r="D14" s="861">
        <v>0</v>
      </c>
      <c r="E14" s="721">
        <f t="shared" ref="E14:E20" si="0">SUM(B14:D14)</f>
        <v>5979744</v>
      </c>
      <c r="F14" s="690"/>
    </row>
    <row r="15" spans="1:8" s="50" customFormat="1" ht="19.899999999999999" customHeight="1">
      <c r="A15" s="719" t="s">
        <v>210</v>
      </c>
      <c r="B15" s="860">
        <v>252386</v>
      </c>
      <c r="C15" s="847">
        <v>435842</v>
      </c>
      <c r="D15" s="847">
        <v>0</v>
      </c>
      <c r="E15" s="721">
        <f>SUM(B15:D15)</f>
        <v>688228</v>
      </c>
      <c r="F15" s="690"/>
    </row>
    <row r="16" spans="1:8" s="50" customFormat="1" ht="19.899999999999999" customHeight="1">
      <c r="A16" s="719" t="s">
        <v>204</v>
      </c>
      <c r="B16" s="860">
        <v>8430827</v>
      </c>
      <c r="C16" s="847">
        <f>3270859-2100000</f>
        <v>1170859</v>
      </c>
      <c r="D16" s="847">
        <v>0</v>
      </c>
      <c r="E16" s="721">
        <f t="shared" si="0"/>
        <v>9601686</v>
      </c>
      <c r="F16" s="690"/>
    </row>
    <row r="17" spans="1:6" s="50" customFormat="1" ht="19.899999999999999" customHeight="1">
      <c r="A17" s="719" t="s">
        <v>205</v>
      </c>
      <c r="B17" s="860">
        <v>9522185</v>
      </c>
      <c r="C17" s="847">
        <v>4068119</v>
      </c>
      <c r="D17" s="847">
        <v>141500</v>
      </c>
      <c r="E17" s="721">
        <f t="shared" si="0"/>
        <v>13731804</v>
      </c>
      <c r="F17" s="690"/>
    </row>
    <row r="18" spans="1:6" s="50" customFormat="1" ht="19.899999999999999" customHeight="1">
      <c r="A18" s="719" t="s">
        <v>206</v>
      </c>
      <c r="B18" s="860">
        <v>2993246</v>
      </c>
      <c r="C18" s="847">
        <v>5826911</v>
      </c>
      <c r="D18" s="847">
        <v>31350</v>
      </c>
      <c r="E18" s="721">
        <f t="shared" si="0"/>
        <v>8851507</v>
      </c>
      <c r="F18" s="690"/>
    </row>
    <row r="19" spans="1:6" s="50" customFormat="1" ht="19.899999999999999" customHeight="1">
      <c r="A19" s="719" t="s">
        <v>207</v>
      </c>
      <c r="B19" s="860">
        <v>0</v>
      </c>
      <c r="C19" s="847">
        <v>2100000</v>
      </c>
      <c r="D19" s="847">
        <v>0</v>
      </c>
      <c r="E19" s="721">
        <f t="shared" si="0"/>
        <v>2100000</v>
      </c>
      <c r="F19" s="690"/>
    </row>
    <row r="20" spans="1:6" s="50" customFormat="1" ht="19.899999999999999" customHeight="1" thickBot="1">
      <c r="A20" s="719" t="s">
        <v>208</v>
      </c>
      <c r="B20" s="860">
        <v>0</v>
      </c>
      <c r="C20" s="848">
        <v>300000</v>
      </c>
      <c r="D20" s="848">
        <v>0</v>
      </c>
      <c r="E20" s="721">
        <f t="shared" si="0"/>
        <v>300000</v>
      </c>
      <c r="F20" s="690"/>
    </row>
    <row r="21" spans="1:6" s="50" customFormat="1" ht="24" customHeight="1" thickBot="1">
      <c r="A21" s="561" t="s">
        <v>2</v>
      </c>
      <c r="B21" s="691">
        <f>SUM(B10:B20)</f>
        <v>55094392</v>
      </c>
      <c r="C21" s="694">
        <f>SUM(C10:C20)</f>
        <v>16936382</v>
      </c>
      <c r="D21" s="694">
        <f>SUM(D10:D20)</f>
        <v>177350</v>
      </c>
      <c r="E21" s="693">
        <f>SUM(E10:E20)</f>
        <v>72208124</v>
      </c>
      <c r="F21" s="690"/>
    </row>
    <row r="22" spans="1:6" ht="24" customHeight="1">
      <c r="A22" s="649"/>
      <c r="B22" s="655"/>
      <c r="C22" s="649"/>
      <c r="D22" s="649"/>
      <c r="E22" s="649"/>
      <c r="F22" s="654"/>
    </row>
    <row r="23" spans="1:6" ht="24" customHeight="1">
      <c r="A23" s="649"/>
      <c r="B23" s="649"/>
      <c r="C23" s="649"/>
      <c r="D23" s="649"/>
      <c r="E23" s="649"/>
      <c r="F23" s="654"/>
    </row>
    <row r="24" spans="1:6">
      <c r="A24" s="649"/>
      <c r="B24" s="649"/>
      <c r="C24" s="649"/>
      <c r="D24" s="649"/>
      <c r="E24" s="649"/>
      <c r="F24" s="654"/>
    </row>
    <row r="25" spans="1:6">
      <c r="A25" s="649"/>
      <c r="B25" s="649"/>
      <c r="C25" s="649"/>
      <c r="D25" s="649"/>
      <c r="E25" s="649"/>
      <c r="F25" s="654"/>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73OQ4U7p8ay2aEydAL8YfLCm4B2RtJw4nOx/pNQ1uSxdhNcoP3OizzdiE5CAntfhB7PLlt+fPDA5mQ8pYqvKjA==" saltValue="Wq+UHF6txH2j9QgvbWwEnA=="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3"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H41" sqref="H41"/>
    </sheetView>
  </sheetViews>
  <sheetFormatPr defaultRowHeight="12.75"/>
  <cols>
    <col min="1" max="1" width="78.7109375" customWidth="1"/>
  </cols>
  <sheetData>
    <row r="1" spans="1:7" ht="25.9" customHeight="1">
      <c r="A1" s="969" t="s">
        <v>662</v>
      </c>
      <c r="B1" s="968"/>
      <c r="C1" s="968"/>
      <c r="D1" s="968"/>
      <c r="E1" s="968"/>
      <c r="F1" s="968"/>
      <c r="G1" s="968"/>
    </row>
    <row r="2" spans="1:7" ht="26.25">
      <c r="A2" s="946" t="s">
        <v>663</v>
      </c>
      <c r="B2" s="968"/>
    </row>
    <row r="3" spans="1:7" ht="25.9" customHeight="1">
      <c r="A3" s="945" t="s">
        <v>779</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0" zoomScaleNormal="50" zoomScaleSheetLayoutView="50" workbookViewId="0">
      <selection activeCell="A2" sqref="A2:A3"/>
    </sheetView>
  </sheetViews>
  <sheetFormatPr defaultColWidth="12.42578125" defaultRowHeight="15.75"/>
  <cols>
    <col min="1" max="1" width="26.42578125" style="380" customWidth="1"/>
    <col min="2" max="2" width="136.7109375" style="380" customWidth="1"/>
    <col min="3" max="3" width="21.42578125" style="380" customWidth="1"/>
    <col min="4" max="4" width="30.7109375" style="452" customWidth="1"/>
    <col min="5" max="5" width="27.28515625" style="452" customWidth="1"/>
    <col min="6" max="6" width="33.7109375" style="452" customWidth="1"/>
    <col min="7" max="7" width="3.140625" style="380" customWidth="1"/>
    <col min="8" max="16384" width="12.42578125" style="380"/>
  </cols>
  <sheetData>
    <row r="1" spans="1:224" ht="30" customHeight="1" thickBot="1">
      <c r="A1" s="1288" t="s">
        <v>15</v>
      </c>
      <c r="B1" s="1323" t="str">
        <f>'CHECK SHEET'!D7</f>
        <v>Florida SouthWestern State College</v>
      </c>
      <c r="C1" s="1323"/>
      <c r="D1" s="1323"/>
      <c r="E1" s="1323"/>
      <c r="F1" s="1323"/>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324" t="s">
        <v>512</v>
      </c>
      <c r="B2" s="1324"/>
      <c r="C2" s="1324"/>
      <c r="D2" s="1324"/>
      <c r="E2" s="1324"/>
      <c r="F2" s="1324"/>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325" t="s">
        <v>570</v>
      </c>
      <c r="B3" s="1325"/>
      <c r="C3" s="1325"/>
      <c r="D3" s="1325"/>
      <c r="E3" s="1325"/>
      <c r="F3" s="1325"/>
    </row>
    <row r="4" spans="1:224" ht="30" customHeight="1">
      <c r="A4" s="1324" t="s">
        <v>736</v>
      </c>
      <c r="B4" s="1324"/>
      <c r="C4" s="1324"/>
      <c r="D4" s="1324"/>
      <c r="E4" s="1324"/>
      <c r="F4" s="1324"/>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324"/>
      <c r="B5" s="1324"/>
      <c r="C5" s="1324"/>
      <c r="D5" s="1324"/>
      <c r="E5" s="1324"/>
      <c r="F5" s="1324"/>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77" t="s">
        <v>669</v>
      </c>
      <c r="B7" s="1178"/>
      <c r="C7" s="1169" t="s">
        <v>731</v>
      </c>
      <c r="D7" s="1170"/>
      <c r="E7" s="1170"/>
      <c r="F7" s="1171"/>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326" t="s">
        <v>509</v>
      </c>
      <c r="B8" s="1327"/>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67" t="s">
        <v>103</v>
      </c>
      <c r="B9" s="1174"/>
      <c r="C9" s="456"/>
      <c r="D9" s="477"/>
      <c r="E9" s="477"/>
      <c r="F9" s="477"/>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2">
        <v>0</v>
      </c>
      <c r="E10" s="862">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3">
        <f>185743-42088</f>
        <v>143655</v>
      </c>
      <c r="E11" s="863">
        <v>0</v>
      </c>
      <c r="F11" s="414">
        <f t="shared" si="0"/>
        <v>143655</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3">
        <v>0</v>
      </c>
      <c r="E12" s="863">
        <v>0</v>
      </c>
      <c r="F12" s="414">
        <f t="shared" si="0"/>
        <v>0</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3">
        <v>0</v>
      </c>
      <c r="E13" s="863">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3">
        <v>0</v>
      </c>
      <c r="E14" s="863">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3">
        <v>757690</v>
      </c>
      <c r="E15" s="863">
        <v>0</v>
      </c>
      <c r="F15" s="414">
        <f t="shared" si="0"/>
        <v>757690</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3">
        <f>50936+77815+100707</f>
        <v>229458</v>
      </c>
      <c r="E16" s="863">
        <v>0</v>
      </c>
      <c r="F16" s="414">
        <f t="shared" si="0"/>
        <v>229458</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3">
        <v>0</v>
      </c>
      <c r="E17" s="863">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3">
        <v>31074</v>
      </c>
      <c r="E18" s="863">
        <v>0</v>
      </c>
      <c r="F18" s="414">
        <f t="shared" si="0"/>
        <v>31074</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3">
        <v>0</v>
      </c>
      <c r="E19" s="863">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3">
        <v>0</v>
      </c>
      <c r="E20" s="863">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3">
        <v>0</v>
      </c>
      <c r="E21" s="863">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3">
        <v>0</v>
      </c>
      <c r="E22" s="863">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3">
        <v>0</v>
      </c>
      <c r="E23" s="863">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3">
        <v>4436</v>
      </c>
      <c r="E24" s="863">
        <v>0</v>
      </c>
      <c r="F24" s="414">
        <f t="shared" si="0"/>
        <v>4436</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3">
        <v>21069</v>
      </c>
      <c r="E25" s="863">
        <v>0</v>
      </c>
      <c r="F25" s="414">
        <f t="shared" si="0"/>
        <v>21069</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3">
        <v>3000</v>
      </c>
      <c r="E26" s="863">
        <v>0</v>
      </c>
      <c r="F26" s="414">
        <f t="shared" si="0"/>
        <v>3000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3">
        <v>0</v>
      </c>
      <c r="E27" s="863">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3">
        <v>0</v>
      </c>
      <c r="E28" s="863">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3">
        <v>0</v>
      </c>
      <c r="E29" s="863">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3">
        <v>29879</v>
      </c>
      <c r="E30" s="863">
        <v>0</v>
      </c>
      <c r="F30" s="414">
        <f t="shared" si="0"/>
        <v>29879</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3">
        <v>0</v>
      </c>
      <c r="E31" s="863">
        <v>0</v>
      </c>
      <c r="F31" s="414">
        <f t="shared" si="0"/>
        <v>0</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3">
        <v>0</v>
      </c>
      <c r="E32" s="863">
        <v>0</v>
      </c>
      <c r="F32" s="414">
        <f>+D32+E32</f>
        <v>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3">
        <v>0</v>
      </c>
      <c r="E33" s="863">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3">
        <v>0</v>
      </c>
      <c r="E34" s="863">
        <v>0</v>
      </c>
      <c r="F34" s="414">
        <f t="shared" si="0"/>
        <v>0</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3">
        <f>85572+83325+56155</f>
        <v>225052</v>
      </c>
      <c r="E35" s="863">
        <v>0</v>
      </c>
      <c r="F35" s="414">
        <f>+D35+E35</f>
        <v>225052</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3">
        <v>0</v>
      </c>
      <c r="E36" s="863">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3">
        <v>0</v>
      </c>
      <c r="E37" s="863">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3">
        <v>0</v>
      </c>
      <c r="E38" s="863">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3">
        <v>0</v>
      </c>
      <c r="E39" s="863">
        <v>0</v>
      </c>
      <c r="F39" s="414">
        <f t="shared" si="0"/>
        <v>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3">
        <v>0</v>
      </c>
      <c r="E40" s="863">
        <v>0</v>
      </c>
      <c r="F40" s="414">
        <f t="shared" si="0"/>
        <v>0</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3">
        <v>0</v>
      </c>
      <c r="E41" s="863">
        <v>0</v>
      </c>
      <c r="F41" s="414">
        <f t="shared" si="0"/>
        <v>0</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3">
        <v>0</v>
      </c>
      <c r="E42" s="863">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3">
        <v>0</v>
      </c>
      <c r="E43" s="863">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3">
        <v>0</v>
      </c>
      <c r="E44" s="863">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3">
        <v>0</v>
      </c>
      <c r="E45" s="863">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3">
        <v>0</v>
      </c>
      <c r="E46" s="863">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3">
        <v>0</v>
      </c>
      <c r="E47" s="863">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3">
        <v>99878</v>
      </c>
      <c r="E48" s="863">
        <v>0</v>
      </c>
      <c r="F48" s="414">
        <f t="shared" si="0"/>
        <v>99878</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3">
        <v>99999</v>
      </c>
      <c r="E49" s="863">
        <v>0</v>
      </c>
      <c r="F49" s="414">
        <f t="shared" si="0"/>
        <v>99999</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3">
        <v>0</v>
      </c>
      <c r="E50" s="863">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3">
        <v>0</v>
      </c>
      <c r="E51" s="863">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3">
        <v>8036</v>
      </c>
      <c r="E52" s="863">
        <v>0</v>
      </c>
      <c r="F52" s="414">
        <f t="shared" si="0"/>
        <v>8036</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3">
        <v>0</v>
      </c>
      <c r="E53" s="863">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3">
        <v>109151</v>
      </c>
      <c r="E54" s="863">
        <v>0</v>
      </c>
      <c r="F54" s="414">
        <f t="shared" si="0"/>
        <v>109151</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3">
        <v>0</v>
      </c>
      <c r="E55" s="863">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3">
        <v>0</v>
      </c>
      <c r="E56" s="864">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6" t="s">
        <v>145</v>
      </c>
      <c r="B57" s="467"/>
      <c r="C57" s="470"/>
      <c r="D57" s="468">
        <f>SUM(D10:D56)</f>
        <v>1762377</v>
      </c>
      <c r="E57" s="468">
        <f>SUM(E10:E56)</f>
        <v>0</v>
      </c>
      <c r="F57" s="468">
        <f t="shared" si="0"/>
        <v>1762377</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69" t="str">
        <f>C7</f>
        <v>2018-19</v>
      </c>
      <c r="D61" s="1170"/>
      <c r="E61" s="1170"/>
      <c r="F61" s="1171"/>
      <c r="G61" s="407"/>
      <c r="H61" s="408"/>
      <c r="I61" s="408"/>
      <c r="J61" s="408"/>
      <c r="K61" s="408"/>
      <c r="L61" s="408"/>
      <c r="M61" s="408"/>
      <c r="N61" s="408"/>
      <c r="O61" s="408"/>
      <c r="P61" s="408"/>
      <c r="Q61" s="408"/>
      <c r="R61" s="409"/>
      <c r="S61" s="409"/>
      <c r="T61" s="409"/>
      <c r="U61" s="409"/>
    </row>
    <row r="62" spans="1:21" s="410" customFormat="1" ht="111.6" customHeight="1" thickBot="1">
      <c r="A62" s="1326" t="s">
        <v>509</v>
      </c>
      <c r="B62" s="1327"/>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75" t="s">
        <v>12</v>
      </c>
      <c r="B63" s="1176"/>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2">
        <v>11013</v>
      </c>
      <c r="E64" s="862">
        <v>0</v>
      </c>
      <c r="F64" s="406">
        <f t="shared" si="0"/>
        <v>11013</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3">
        <v>505</v>
      </c>
      <c r="E65" s="865">
        <v>0</v>
      </c>
      <c r="F65" s="433">
        <f t="shared" si="0"/>
        <v>505</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3">
        <v>6749</v>
      </c>
      <c r="E66" s="865">
        <v>0</v>
      </c>
      <c r="F66" s="433">
        <f t="shared" si="0"/>
        <v>6749</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3">
        <v>4179</v>
      </c>
      <c r="E67" s="865">
        <v>0</v>
      </c>
      <c r="F67" s="433">
        <f t="shared" si="0"/>
        <v>4179</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3">
        <v>14545</v>
      </c>
      <c r="E68" s="865">
        <v>0</v>
      </c>
      <c r="F68" s="433">
        <f t="shared" si="0"/>
        <v>14545</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3">
        <v>344</v>
      </c>
      <c r="E69" s="865">
        <v>0</v>
      </c>
      <c r="F69" s="433">
        <f t="shared" si="0"/>
        <v>344</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3">
        <v>0</v>
      </c>
      <c r="E70" s="865">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3">
        <v>0</v>
      </c>
      <c r="E71" s="865">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3">
        <v>0</v>
      </c>
      <c r="E72" s="865">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3">
        <v>0</v>
      </c>
      <c r="E73" s="865">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3">
        <v>0</v>
      </c>
      <c r="E74" s="865">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3">
        <v>0</v>
      </c>
      <c r="E75" s="865">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3">
        <v>0</v>
      </c>
      <c r="E76" s="865">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3">
        <v>0</v>
      </c>
      <c r="E77" s="865">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3">
        <v>0</v>
      </c>
      <c r="E78" s="865">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3">
        <v>7945</v>
      </c>
      <c r="E79" s="865">
        <v>0</v>
      </c>
      <c r="F79" s="433">
        <f t="shared" si="0"/>
        <v>7945</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3">
        <v>0</v>
      </c>
      <c r="E80" s="865">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3">
        <v>0</v>
      </c>
      <c r="E81" s="865">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3">
        <v>6966</v>
      </c>
      <c r="E82" s="865">
        <v>0</v>
      </c>
      <c r="F82" s="433">
        <f t="shared" si="1"/>
        <v>6966</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3">
        <v>6141</v>
      </c>
      <c r="E83" s="865">
        <v>0</v>
      </c>
      <c r="F83" s="433">
        <f t="shared" si="1"/>
        <v>6141</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3">
        <v>8922</v>
      </c>
      <c r="E84" s="865">
        <v>0</v>
      </c>
      <c r="F84" s="433">
        <f t="shared" si="1"/>
        <v>8922</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3">
        <v>2079</v>
      </c>
      <c r="E85" s="865">
        <v>0</v>
      </c>
      <c r="F85" s="433">
        <f t="shared" si="1"/>
        <v>2079</v>
      </c>
      <c r="G85" s="407"/>
      <c r="H85" s="407"/>
      <c r="I85" s="407"/>
      <c r="J85" s="407"/>
      <c r="K85" s="407"/>
      <c r="L85" s="407"/>
      <c r="M85" s="407"/>
      <c r="N85" s="407"/>
      <c r="O85" s="407"/>
      <c r="P85" s="407"/>
      <c r="Q85" s="407"/>
    </row>
    <row r="86" spans="1:21" s="410" customFormat="1" ht="30" customHeight="1">
      <c r="A86" s="430" t="s">
        <v>356</v>
      </c>
      <c r="B86" s="431"/>
      <c r="C86" s="432" t="s">
        <v>167</v>
      </c>
      <c r="D86" s="863">
        <v>9422</v>
      </c>
      <c r="E86" s="865">
        <v>0</v>
      </c>
      <c r="F86" s="433">
        <f t="shared" si="1"/>
        <v>9422</v>
      </c>
      <c r="G86" s="407"/>
      <c r="H86" s="407"/>
      <c r="I86" s="407"/>
      <c r="J86" s="407"/>
      <c r="K86" s="407"/>
      <c r="L86" s="407"/>
      <c r="M86" s="407"/>
      <c r="N86" s="407"/>
      <c r="O86" s="407"/>
      <c r="P86" s="407"/>
      <c r="Q86" s="407"/>
    </row>
    <row r="87" spans="1:21" s="410" customFormat="1" ht="30" customHeight="1">
      <c r="A87" s="430" t="s">
        <v>357</v>
      </c>
      <c r="B87" s="431"/>
      <c r="C87" s="432" t="s">
        <v>168</v>
      </c>
      <c r="D87" s="863">
        <v>0</v>
      </c>
      <c r="E87" s="865">
        <v>0</v>
      </c>
      <c r="F87" s="433">
        <f t="shared" ref="F87:F92" si="2">+D87+E87</f>
        <v>0</v>
      </c>
      <c r="G87" s="407"/>
      <c r="H87" s="407"/>
      <c r="I87" s="407"/>
      <c r="J87" s="407"/>
      <c r="K87" s="407"/>
      <c r="L87" s="407"/>
      <c r="M87" s="407"/>
      <c r="N87" s="407"/>
      <c r="O87" s="407"/>
      <c r="P87" s="407"/>
      <c r="Q87" s="407"/>
    </row>
    <row r="88" spans="1:21" s="410" customFormat="1" ht="30" customHeight="1">
      <c r="A88" s="430" t="s">
        <v>358</v>
      </c>
      <c r="B88" s="431"/>
      <c r="C88" s="432" t="s">
        <v>169</v>
      </c>
      <c r="D88" s="863">
        <v>0</v>
      </c>
      <c r="E88" s="865">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3">
        <v>0</v>
      </c>
      <c r="E89" s="865">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3">
        <v>0</v>
      </c>
      <c r="E90" s="865">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3">
        <v>0</v>
      </c>
      <c r="E91" s="865">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3">
        <v>0</v>
      </c>
      <c r="E92" s="865">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3">
        <v>0</v>
      </c>
      <c r="E93" s="865">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3">
        <v>0</v>
      </c>
      <c r="E94" s="865">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3">
        <v>0</v>
      </c>
      <c r="E95" s="865">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3">
        <v>0</v>
      </c>
      <c r="E96" s="865">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3">
        <v>0</v>
      </c>
      <c r="E97" s="865">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3">
        <v>0</v>
      </c>
      <c r="E98" s="865">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3">
        <v>0</v>
      </c>
      <c r="E99" s="865">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3">
        <v>0</v>
      </c>
      <c r="E100" s="865">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3">
        <v>0</v>
      </c>
      <c r="E101" s="865">
        <v>0</v>
      </c>
      <c r="F101" s="437">
        <f t="shared" si="1"/>
        <v>0</v>
      </c>
      <c r="G101" s="407"/>
      <c r="H101" s="407"/>
      <c r="I101" s="407"/>
      <c r="J101" s="407"/>
      <c r="K101" s="407"/>
      <c r="L101" s="407"/>
      <c r="M101" s="407"/>
      <c r="N101" s="407"/>
      <c r="O101" s="407"/>
      <c r="P101" s="407"/>
      <c r="Q101" s="407"/>
    </row>
    <row r="102" spans="1:17" s="410" customFormat="1" ht="30" customHeight="1" thickBot="1">
      <c r="A102" s="1172" t="s">
        <v>179</v>
      </c>
      <c r="B102" s="1173"/>
      <c r="C102" s="471"/>
      <c r="D102" s="469">
        <f>SUM(D64:D101)</f>
        <v>78810</v>
      </c>
      <c r="E102" s="469">
        <f>SUM(E64:E101)</f>
        <v>0</v>
      </c>
      <c r="F102" s="469">
        <f t="shared" si="1"/>
        <v>78810</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69" t="str">
        <f>C7</f>
        <v>2018-19</v>
      </c>
      <c r="D105" s="1170"/>
      <c r="E105" s="1170"/>
      <c r="F105" s="1171"/>
      <c r="G105" s="407"/>
      <c r="H105" s="407"/>
      <c r="I105" s="407"/>
      <c r="J105" s="407"/>
      <c r="K105" s="407"/>
      <c r="L105" s="407"/>
      <c r="M105" s="407"/>
      <c r="N105" s="407"/>
      <c r="O105" s="407"/>
      <c r="P105" s="407"/>
      <c r="Q105" s="407"/>
    </row>
    <row r="106" spans="1:17" s="410" customFormat="1" ht="111.6" customHeight="1" thickBot="1">
      <c r="A106" s="1328" t="s">
        <v>13</v>
      </c>
      <c r="B106" s="1329"/>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2">
        <v>0</v>
      </c>
      <c r="E107" s="862">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3">
        <v>0</v>
      </c>
      <c r="E108" s="863">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3">
        <v>0</v>
      </c>
      <c r="E109" s="863">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3">
        <v>0</v>
      </c>
      <c r="E110" s="863">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3">
        <v>0</v>
      </c>
      <c r="E111" s="863">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3">
        <v>0</v>
      </c>
      <c r="E112" s="863">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3">
        <v>0</v>
      </c>
      <c r="E113" s="863">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3">
        <v>0</v>
      </c>
      <c r="E114" s="863">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3">
        <v>0</v>
      </c>
      <c r="E115" s="863">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4">
        <v>0</v>
      </c>
      <c r="E116" s="864">
        <v>0</v>
      </c>
      <c r="F116" s="419">
        <f t="shared" si="1"/>
        <v>0</v>
      </c>
      <c r="G116" s="407"/>
      <c r="H116" s="407"/>
      <c r="I116" s="407"/>
      <c r="J116" s="407"/>
      <c r="K116" s="407"/>
      <c r="L116" s="407"/>
      <c r="M116" s="407"/>
      <c r="N116" s="407"/>
      <c r="O116" s="407"/>
      <c r="P116" s="407"/>
      <c r="Q116" s="407"/>
    </row>
    <row r="117" spans="1:17" s="410" customFormat="1" ht="30" customHeight="1" thickBot="1">
      <c r="A117" s="472" t="s">
        <v>189</v>
      </c>
      <c r="B117" s="473"/>
      <c r="C117" s="473"/>
      <c r="D117" s="474">
        <f>SUM(D107:D116)</f>
        <v>0</v>
      </c>
      <c r="E117" s="474">
        <f>SUM(E107:E116)</f>
        <v>0</v>
      </c>
      <c r="F117" s="474">
        <f>SUM(D117:E117)</f>
        <v>0</v>
      </c>
      <c r="G117" s="407"/>
      <c r="H117" s="407"/>
      <c r="I117" s="407"/>
      <c r="J117" s="407"/>
      <c r="K117" s="407"/>
      <c r="L117" s="407"/>
      <c r="M117" s="407"/>
      <c r="N117" s="407"/>
      <c r="O117" s="407"/>
      <c r="P117" s="407"/>
      <c r="Q117" s="407"/>
    </row>
    <row r="118" spans="1:17" s="410" customFormat="1" ht="30" customHeight="1" thickBot="1">
      <c r="A118" s="478"/>
      <c r="B118" s="479"/>
      <c r="C118" s="475"/>
      <c r="D118" s="476"/>
      <c r="E118" s="476"/>
      <c r="F118" s="476"/>
      <c r="G118" s="407"/>
      <c r="H118" s="407"/>
      <c r="I118" s="407"/>
      <c r="J118" s="407"/>
      <c r="K118" s="407"/>
      <c r="L118" s="407"/>
      <c r="M118" s="407"/>
      <c r="N118" s="407"/>
      <c r="O118" s="407"/>
      <c r="P118" s="407"/>
      <c r="Q118" s="407"/>
    </row>
    <row r="119" spans="1:17" s="410" customFormat="1" ht="30" customHeight="1" thickBot="1">
      <c r="A119" s="1172" t="s">
        <v>235</v>
      </c>
      <c r="B119" s="1173"/>
      <c r="C119" s="456"/>
      <c r="D119" s="469">
        <f>+D57+D102+D117</f>
        <v>1841187</v>
      </c>
      <c r="E119" s="469">
        <f>+E57+E102+E117</f>
        <v>0</v>
      </c>
      <c r="F119" s="469">
        <f>SUM(D119:E119)</f>
        <v>1841187</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84" customFormat="1" ht="30" customHeight="1" thickBot="1">
      <c r="A121" s="35"/>
      <c r="B121" s="35"/>
      <c r="C121" s="35"/>
      <c r="D121" s="35"/>
      <c r="E121" s="35"/>
      <c r="F121" s="35"/>
    </row>
    <row r="122" spans="1:17" s="410" customFormat="1" ht="116.45" customHeight="1" thickBot="1">
      <c r="A122" s="1330" t="s">
        <v>506</v>
      </c>
      <c r="B122" s="1331"/>
      <c r="C122" s="391" t="s">
        <v>405</v>
      </c>
      <c r="D122" s="394" t="s">
        <v>378</v>
      </c>
      <c r="E122" s="394" t="s">
        <v>379</v>
      </c>
      <c r="F122" s="394" t="s">
        <v>532</v>
      </c>
      <c r="G122" s="407"/>
      <c r="H122" s="407"/>
      <c r="I122" s="407"/>
      <c r="J122" s="407"/>
      <c r="K122" s="407"/>
      <c r="L122" s="407"/>
      <c r="M122" s="407"/>
      <c r="N122" s="407"/>
      <c r="O122" s="407"/>
      <c r="P122" s="407"/>
      <c r="Q122" s="407"/>
    </row>
    <row r="123" spans="1:17" s="463" customFormat="1" ht="30" customHeight="1">
      <c r="A123" s="403" t="s">
        <v>269</v>
      </c>
      <c r="B123" s="460"/>
      <c r="C123" s="461"/>
      <c r="D123" s="862">
        <v>0</v>
      </c>
      <c r="E123" s="862">
        <v>0</v>
      </c>
      <c r="F123" s="867">
        <f>+D123+E123</f>
        <v>0</v>
      </c>
      <c r="G123" s="462"/>
      <c r="H123" s="462"/>
      <c r="I123" s="462"/>
      <c r="J123" s="462"/>
      <c r="K123" s="462"/>
      <c r="L123" s="462"/>
      <c r="M123" s="462"/>
      <c r="N123" s="462"/>
      <c r="O123" s="462"/>
      <c r="P123" s="462"/>
      <c r="Q123" s="462"/>
    </row>
    <row r="124" spans="1:17" s="463" customFormat="1" ht="30" customHeight="1">
      <c r="A124" s="411" t="s">
        <v>572</v>
      </c>
      <c r="B124" s="464"/>
      <c r="C124" s="465"/>
      <c r="D124" s="866">
        <f>'EXHIBIT C'!H10</f>
        <v>1662245</v>
      </c>
      <c r="E124" s="863">
        <v>0</v>
      </c>
      <c r="F124" s="414">
        <f t="shared" ref="F124:F134" si="3">+D124+E124</f>
        <v>1662245</v>
      </c>
      <c r="G124" s="462"/>
      <c r="H124" s="462"/>
      <c r="I124" s="462"/>
      <c r="J124" s="462"/>
      <c r="K124" s="462"/>
      <c r="L124" s="462"/>
      <c r="M124" s="462"/>
      <c r="N124" s="462"/>
      <c r="O124" s="462"/>
      <c r="P124" s="462"/>
      <c r="Q124" s="462"/>
    </row>
    <row r="125" spans="1:17" s="463" customFormat="1" ht="30" customHeight="1">
      <c r="A125" s="411" t="s">
        <v>573</v>
      </c>
      <c r="B125" s="464"/>
      <c r="C125" s="465"/>
      <c r="D125" s="866">
        <f>'EXHIBIT C'!F19</f>
        <v>130643</v>
      </c>
      <c r="E125" s="863">
        <v>0</v>
      </c>
      <c r="F125" s="414">
        <f t="shared" si="3"/>
        <v>130643</v>
      </c>
      <c r="G125" s="462"/>
      <c r="H125" s="462"/>
      <c r="I125" s="462"/>
      <c r="J125" s="462"/>
      <c r="K125" s="462"/>
      <c r="L125" s="462"/>
      <c r="M125" s="462"/>
      <c r="N125" s="462"/>
      <c r="O125" s="462"/>
      <c r="P125" s="462"/>
      <c r="Q125" s="462"/>
    </row>
    <row r="126" spans="1:17" s="463" customFormat="1" ht="30" customHeight="1">
      <c r="A126" s="411" t="s">
        <v>270</v>
      </c>
      <c r="B126" s="464"/>
      <c r="C126" s="465"/>
      <c r="D126" s="863">
        <v>48299</v>
      </c>
      <c r="E126" s="863">
        <v>0</v>
      </c>
      <c r="F126" s="414">
        <f t="shared" si="3"/>
        <v>48299</v>
      </c>
      <c r="G126" s="462"/>
      <c r="H126" s="462"/>
      <c r="I126" s="462"/>
      <c r="J126" s="462"/>
      <c r="K126" s="462"/>
      <c r="L126" s="462"/>
      <c r="M126" s="462"/>
      <c r="N126" s="462"/>
      <c r="O126" s="462"/>
      <c r="P126" s="462"/>
      <c r="Q126" s="462"/>
    </row>
    <row r="127" spans="1:17" s="463" customFormat="1" ht="30" customHeight="1">
      <c r="A127" s="411" t="s">
        <v>271</v>
      </c>
      <c r="B127" s="464"/>
      <c r="C127" s="465"/>
      <c r="D127" s="863">
        <v>0</v>
      </c>
      <c r="E127" s="863">
        <v>0</v>
      </c>
      <c r="F127" s="414">
        <f t="shared" si="3"/>
        <v>0</v>
      </c>
      <c r="G127" s="462"/>
      <c r="H127" s="462"/>
      <c r="I127" s="462"/>
      <c r="J127" s="462"/>
      <c r="K127" s="462"/>
      <c r="L127" s="462"/>
      <c r="M127" s="462"/>
      <c r="N127" s="462"/>
      <c r="O127" s="462"/>
      <c r="P127" s="462"/>
      <c r="Q127" s="462"/>
    </row>
    <row r="128" spans="1:17" s="463" customFormat="1" ht="30" customHeight="1">
      <c r="A128" s="876" t="s">
        <v>755</v>
      </c>
      <c r="B128" s="464"/>
      <c r="C128" s="465"/>
      <c r="D128" s="863">
        <v>0</v>
      </c>
      <c r="E128" s="863">
        <v>0</v>
      </c>
      <c r="F128" s="414">
        <f t="shared" si="3"/>
        <v>0</v>
      </c>
      <c r="G128" s="462"/>
      <c r="H128" s="462"/>
      <c r="I128" s="462"/>
      <c r="J128" s="462"/>
      <c r="K128" s="462"/>
      <c r="L128" s="462"/>
      <c r="M128" s="462"/>
      <c r="N128" s="462"/>
      <c r="O128" s="462"/>
      <c r="P128" s="462"/>
      <c r="Q128" s="462"/>
    </row>
    <row r="129" spans="1:17" s="463" customFormat="1" ht="30" customHeight="1">
      <c r="A129" s="411" t="s">
        <v>456</v>
      </c>
      <c r="B129" s="464"/>
      <c r="C129" s="465"/>
      <c r="D129" s="863">
        <v>0</v>
      </c>
      <c r="E129" s="863">
        <v>0</v>
      </c>
      <c r="F129" s="414">
        <f t="shared" si="3"/>
        <v>0</v>
      </c>
      <c r="G129" s="462"/>
      <c r="H129" s="462"/>
      <c r="I129" s="462"/>
      <c r="J129" s="462"/>
      <c r="K129" s="462"/>
      <c r="L129" s="462"/>
      <c r="M129" s="462"/>
      <c r="N129" s="462"/>
      <c r="O129" s="462"/>
      <c r="P129" s="462"/>
      <c r="Q129" s="462"/>
    </row>
    <row r="130" spans="1:17" s="463" customFormat="1" ht="30" customHeight="1">
      <c r="A130" s="411" t="s">
        <v>272</v>
      </c>
      <c r="B130" s="464"/>
      <c r="C130" s="465"/>
      <c r="D130" s="863">
        <v>0</v>
      </c>
      <c r="E130" s="863">
        <v>0</v>
      </c>
      <c r="F130" s="414">
        <f t="shared" si="3"/>
        <v>0</v>
      </c>
      <c r="G130" s="462"/>
      <c r="H130" s="462"/>
      <c r="I130" s="462"/>
      <c r="J130" s="462"/>
      <c r="K130" s="462"/>
      <c r="L130" s="462"/>
      <c r="M130" s="462"/>
      <c r="N130" s="462"/>
      <c r="O130" s="462"/>
      <c r="P130" s="462"/>
      <c r="Q130" s="462"/>
    </row>
    <row r="131" spans="1:17" s="463" customFormat="1" ht="30" customHeight="1">
      <c r="A131" s="411" t="s">
        <v>273</v>
      </c>
      <c r="B131" s="464"/>
      <c r="C131" s="465"/>
      <c r="D131" s="863">
        <v>0</v>
      </c>
      <c r="E131" s="863">
        <v>0</v>
      </c>
      <c r="F131" s="414">
        <f t="shared" si="3"/>
        <v>0</v>
      </c>
      <c r="G131" s="462"/>
      <c r="H131" s="462"/>
      <c r="I131" s="462"/>
      <c r="J131" s="462"/>
      <c r="K131" s="462"/>
      <c r="L131" s="462"/>
      <c r="M131" s="462"/>
      <c r="N131" s="462"/>
      <c r="O131" s="462"/>
      <c r="P131" s="462"/>
      <c r="Q131" s="462"/>
    </row>
    <row r="132" spans="1:17" s="463" customFormat="1" ht="30" customHeight="1">
      <c r="A132" s="411" t="s">
        <v>274</v>
      </c>
      <c r="B132" s="464"/>
      <c r="C132" s="465"/>
      <c r="D132" s="863">
        <v>0</v>
      </c>
      <c r="E132" s="863">
        <v>0</v>
      </c>
      <c r="F132" s="414">
        <f t="shared" si="3"/>
        <v>0</v>
      </c>
      <c r="G132" s="462"/>
      <c r="H132" s="462"/>
      <c r="I132" s="462"/>
      <c r="J132" s="462"/>
      <c r="K132" s="462"/>
      <c r="L132" s="462"/>
      <c r="M132" s="462"/>
      <c r="N132" s="462"/>
      <c r="O132" s="462"/>
      <c r="P132" s="462"/>
      <c r="Q132" s="462"/>
    </row>
    <row r="133" spans="1:17" s="463" customFormat="1" ht="30" customHeight="1">
      <c r="A133" s="411" t="s">
        <v>275</v>
      </c>
      <c r="B133" s="464"/>
      <c r="C133" s="465"/>
      <c r="D133" s="863">
        <v>0</v>
      </c>
      <c r="E133" s="863">
        <v>0</v>
      </c>
      <c r="F133" s="414">
        <f t="shared" si="3"/>
        <v>0</v>
      </c>
      <c r="G133" s="462"/>
      <c r="H133" s="462"/>
      <c r="I133" s="462"/>
      <c r="J133" s="462"/>
      <c r="K133" s="462"/>
      <c r="L133" s="462"/>
      <c r="M133" s="462"/>
      <c r="N133" s="462"/>
      <c r="O133" s="462"/>
      <c r="P133" s="462"/>
      <c r="Q133" s="462"/>
    </row>
    <row r="134" spans="1:17" s="463" customFormat="1" ht="30" customHeight="1" thickBot="1">
      <c r="A134" s="416" t="s">
        <v>276</v>
      </c>
      <c r="B134" s="445"/>
      <c r="C134" s="455"/>
      <c r="D134" s="864">
        <v>0</v>
      </c>
      <c r="E134" s="864">
        <v>0</v>
      </c>
      <c r="F134" s="419">
        <f t="shared" si="3"/>
        <v>0</v>
      </c>
      <c r="G134" s="462"/>
      <c r="H134" s="462"/>
      <c r="I134" s="462"/>
      <c r="J134" s="462"/>
      <c r="K134" s="462"/>
      <c r="L134" s="462"/>
      <c r="M134" s="462"/>
      <c r="N134" s="462"/>
      <c r="O134" s="462"/>
      <c r="P134" s="462"/>
      <c r="Q134" s="462"/>
    </row>
    <row r="135" spans="1:17" ht="30" customHeight="1" thickBot="1">
      <c r="A135" s="1167" t="s">
        <v>267</v>
      </c>
      <c r="B135" s="1168"/>
      <c r="C135" s="456"/>
      <c r="D135" s="457">
        <f>SUM(D123:D134)</f>
        <v>1841187</v>
      </c>
      <c r="E135" s="458">
        <f>SUM(E123:E134)</f>
        <v>0</v>
      </c>
      <c r="F135" s="459">
        <f>SUM(F123:F134)</f>
        <v>1841187</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78" customHeight="1">
      <c r="A137" s="1332" t="s">
        <v>748</v>
      </c>
      <c r="B137" s="1332"/>
      <c r="C137" s="1333"/>
      <c r="D137" s="1334">
        <f>D135-D119</f>
        <v>0</v>
      </c>
      <c r="E137" s="449">
        <f t="shared" ref="E137:F137" si="4">E135-E119</f>
        <v>0</v>
      </c>
      <c r="F137" s="449">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78" t="s">
        <v>747</v>
      </c>
      <c r="B139" s="410"/>
      <c r="C139" s="410"/>
      <c r="D139" s="450"/>
      <c r="E139" s="450"/>
      <c r="F139" s="451"/>
      <c r="G139" s="444"/>
      <c r="H139" s="444"/>
      <c r="I139" s="444"/>
      <c r="J139" s="444"/>
      <c r="K139" s="444"/>
      <c r="L139" s="444"/>
      <c r="M139" s="444"/>
      <c r="N139" s="444"/>
      <c r="O139" s="444"/>
      <c r="P139" s="444"/>
      <c r="Q139" s="444"/>
    </row>
    <row r="140" spans="1:17" ht="30" customHeight="1">
      <c r="A140" s="1159"/>
      <c r="B140" s="1160"/>
      <c r="C140" s="1160"/>
      <c r="D140" s="1160"/>
      <c r="E140" s="1160"/>
      <c r="F140" s="1161"/>
      <c r="G140" s="444"/>
      <c r="H140" s="444"/>
      <c r="I140" s="444"/>
      <c r="J140" s="444"/>
      <c r="K140" s="444"/>
      <c r="L140" s="444"/>
      <c r="M140" s="444"/>
      <c r="N140" s="444"/>
      <c r="O140" s="444"/>
      <c r="P140" s="444"/>
      <c r="Q140" s="444"/>
    </row>
    <row r="141" spans="1:17" ht="30" customHeight="1">
      <c r="A141" s="1162"/>
      <c r="B141" s="1107"/>
      <c r="C141" s="1107"/>
      <c r="D141" s="1107"/>
      <c r="E141" s="1107"/>
      <c r="F141" s="1163"/>
      <c r="G141" s="444"/>
      <c r="H141" s="444"/>
      <c r="I141" s="444"/>
      <c r="J141" s="444"/>
      <c r="K141" s="444"/>
      <c r="L141" s="444"/>
      <c r="M141" s="444"/>
      <c r="N141" s="444"/>
      <c r="O141" s="444"/>
      <c r="P141" s="444"/>
      <c r="Q141" s="444"/>
    </row>
    <row r="142" spans="1:17" ht="30" customHeight="1">
      <c r="A142" s="1162"/>
      <c r="B142" s="1107"/>
      <c r="C142" s="1107"/>
      <c r="D142" s="1107"/>
      <c r="E142" s="1107"/>
      <c r="F142" s="1163"/>
      <c r="G142" s="444"/>
      <c r="H142" s="444"/>
      <c r="I142" s="444"/>
      <c r="J142" s="444"/>
      <c r="K142" s="444"/>
      <c r="L142" s="444"/>
      <c r="M142" s="444"/>
      <c r="N142" s="444"/>
      <c r="O142" s="444"/>
      <c r="P142" s="444"/>
      <c r="Q142" s="444"/>
    </row>
    <row r="143" spans="1:17" ht="30" customHeight="1">
      <c r="A143" s="1162"/>
      <c r="B143" s="1107"/>
      <c r="C143" s="1107"/>
      <c r="D143" s="1107"/>
      <c r="E143" s="1107"/>
      <c r="F143" s="1163"/>
      <c r="G143" s="444"/>
      <c r="H143" s="444"/>
      <c r="I143" s="444"/>
      <c r="J143" s="444"/>
      <c r="K143" s="444"/>
      <c r="L143" s="444"/>
      <c r="M143" s="444"/>
      <c r="N143" s="444"/>
      <c r="O143" s="444"/>
      <c r="P143" s="444"/>
      <c r="Q143" s="444"/>
    </row>
    <row r="144" spans="1:17" ht="30" customHeight="1">
      <c r="A144" s="1162"/>
      <c r="B144" s="1107"/>
      <c r="C144" s="1107"/>
      <c r="D144" s="1107"/>
      <c r="E144" s="1107"/>
      <c r="F144" s="1163"/>
      <c r="G144" s="444"/>
      <c r="H144" s="444"/>
      <c r="I144" s="444"/>
      <c r="J144" s="444"/>
      <c r="K144" s="444"/>
      <c r="L144" s="444"/>
      <c r="M144" s="444"/>
      <c r="N144" s="444"/>
      <c r="O144" s="444"/>
      <c r="P144" s="444"/>
      <c r="Q144" s="444"/>
    </row>
    <row r="145" spans="1:17" ht="30" customHeight="1">
      <c r="A145" s="1162"/>
      <c r="B145" s="1107"/>
      <c r="C145" s="1107"/>
      <c r="D145" s="1107"/>
      <c r="E145" s="1107"/>
      <c r="F145" s="1163"/>
      <c r="G145" s="444"/>
      <c r="H145" s="444"/>
      <c r="I145" s="444"/>
      <c r="J145" s="444"/>
      <c r="K145" s="444"/>
      <c r="L145" s="444"/>
      <c r="M145" s="444"/>
      <c r="N145" s="444"/>
      <c r="O145" s="444"/>
      <c r="P145" s="444"/>
      <c r="Q145" s="444"/>
    </row>
    <row r="146" spans="1:17" ht="30" customHeight="1" thickBot="1">
      <c r="A146" s="1164"/>
      <c r="B146" s="1165"/>
      <c r="C146" s="1165"/>
      <c r="D146" s="1165"/>
      <c r="E146" s="1165"/>
      <c r="F146" s="1166"/>
      <c r="G146" s="444"/>
      <c r="H146" s="444"/>
      <c r="I146" s="444"/>
      <c r="J146" s="444"/>
      <c r="K146" s="444"/>
      <c r="L146" s="444"/>
      <c r="M146" s="444"/>
      <c r="N146" s="444"/>
      <c r="O146" s="444"/>
      <c r="P146" s="444"/>
      <c r="Q146" s="444"/>
    </row>
    <row r="147" spans="1:17" ht="30" customHeight="1">
      <c r="A147" s="870"/>
      <c r="B147" s="870"/>
      <c r="C147" s="870"/>
      <c r="D147" s="870"/>
      <c r="E147" s="870"/>
      <c r="F147" s="870"/>
      <c r="G147" s="444"/>
      <c r="H147" s="444"/>
      <c r="I147" s="444"/>
      <c r="J147" s="444"/>
      <c r="K147" s="444"/>
      <c r="L147" s="444"/>
      <c r="M147" s="444"/>
      <c r="N147" s="444"/>
      <c r="O147" s="444"/>
      <c r="P147" s="444"/>
      <c r="Q147" s="444"/>
    </row>
    <row r="148" spans="1:17" ht="27" customHeight="1" thickBot="1">
      <c r="A148" s="878" t="s">
        <v>749</v>
      </c>
      <c r="B148" s="871"/>
      <c r="C148" s="871"/>
      <c r="D148" s="450"/>
      <c r="E148" s="450"/>
      <c r="F148" s="451"/>
      <c r="G148" s="444"/>
      <c r="H148" s="444"/>
      <c r="I148" s="444"/>
      <c r="J148" s="444"/>
      <c r="K148" s="444"/>
      <c r="L148" s="444"/>
      <c r="M148" s="444"/>
      <c r="N148" s="444"/>
      <c r="O148" s="444"/>
      <c r="P148" s="444"/>
      <c r="Q148" s="444"/>
    </row>
    <row r="149" spans="1:17" ht="30" customHeight="1">
      <c r="A149" s="1159"/>
      <c r="B149" s="1160"/>
      <c r="C149" s="1160"/>
      <c r="D149" s="1160"/>
      <c r="E149" s="1160"/>
      <c r="F149" s="1161"/>
      <c r="G149" s="444"/>
      <c r="H149" s="444"/>
      <c r="I149" s="444"/>
      <c r="J149" s="444"/>
      <c r="K149" s="444"/>
      <c r="L149" s="444"/>
      <c r="M149" s="444"/>
      <c r="N149" s="444"/>
      <c r="O149" s="444"/>
      <c r="P149" s="444"/>
      <c r="Q149" s="444"/>
    </row>
    <row r="150" spans="1:17" ht="30" customHeight="1">
      <c r="A150" s="1162"/>
      <c r="B150" s="1107"/>
      <c r="C150" s="1107"/>
      <c r="D150" s="1107"/>
      <c r="E150" s="1107"/>
      <c r="F150" s="1163"/>
      <c r="G150" s="444"/>
      <c r="H150" s="444"/>
      <c r="I150" s="444"/>
      <c r="J150" s="444"/>
      <c r="K150" s="444"/>
      <c r="L150" s="444"/>
      <c r="M150" s="444"/>
      <c r="N150" s="444"/>
      <c r="O150" s="444"/>
      <c r="P150" s="444"/>
      <c r="Q150" s="444"/>
    </row>
    <row r="151" spans="1:17" ht="30" customHeight="1">
      <c r="A151" s="1162"/>
      <c r="B151" s="1107"/>
      <c r="C151" s="1107"/>
      <c r="D151" s="1107"/>
      <c r="E151" s="1107"/>
      <c r="F151" s="1163"/>
      <c r="G151" s="444"/>
      <c r="H151" s="444"/>
      <c r="I151" s="444"/>
      <c r="J151" s="444"/>
      <c r="K151" s="444"/>
      <c r="L151" s="444"/>
      <c r="M151" s="444"/>
      <c r="N151" s="444"/>
      <c r="O151" s="444"/>
      <c r="P151" s="444"/>
      <c r="Q151" s="444"/>
    </row>
    <row r="152" spans="1:17" ht="30" customHeight="1">
      <c r="A152" s="1162"/>
      <c r="B152" s="1107"/>
      <c r="C152" s="1107"/>
      <c r="D152" s="1107"/>
      <c r="E152" s="1107"/>
      <c r="F152" s="1163"/>
      <c r="G152" s="444"/>
      <c r="H152" s="444"/>
      <c r="I152" s="444"/>
      <c r="J152" s="444"/>
      <c r="K152" s="444"/>
      <c r="L152" s="444"/>
      <c r="M152" s="444"/>
      <c r="N152" s="444"/>
      <c r="O152" s="444"/>
      <c r="P152" s="444"/>
      <c r="Q152" s="444"/>
    </row>
    <row r="153" spans="1:17" ht="30" customHeight="1">
      <c r="A153" s="1162"/>
      <c r="B153" s="1107"/>
      <c r="C153" s="1107"/>
      <c r="D153" s="1107"/>
      <c r="E153" s="1107"/>
      <c r="F153" s="1163"/>
      <c r="G153" s="444"/>
      <c r="H153" s="444"/>
      <c r="I153" s="444"/>
      <c r="J153" s="444"/>
      <c r="K153" s="444"/>
      <c r="L153" s="444"/>
      <c r="M153" s="444"/>
      <c r="N153" s="444"/>
      <c r="O153" s="444"/>
      <c r="P153" s="444"/>
      <c r="Q153" s="444"/>
    </row>
    <row r="154" spans="1:17" ht="30" customHeight="1">
      <c r="A154" s="1162"/>
      <c r="B154" s="1107"/>
      <c r="C154" s="1107"/>
      <c r="D154" s="1107"/>
      <c r="E154" s="1107"/>
      <c r="F154" s="1163"/>
      <c r="G154" s="444"/>
      <c r="H154" s="444"/>
      <c r="I154" s="444"/>
      <c r="J154" s="444"/>
      <c r="K154" s="444"/>
      <c r="L154" s="444"/>
      <c r="M154" s="444"/>
      <c r="N154" s="444"/>
      <c r="O154" s="444"/>
      <c r="P154" s="444"/>
      <c r="Q154" s="444"/>
    </row>
    <row r="155" spans="1:17" ht="30" customHeight="1" thickBot="1">
      <c r="A155" s="1164"/>
      <c r="B155" s="1165"/>
      <c r="C155" s="1165"/>
      <c r="D155" s="1165"/>
      <c r="E155" s="1165"/>
      <c r="F155" s="1166"/>
      <c r="G155" s="444"/>
      <c r="H155" s="444"/>
      <c r="I155" s="444"/>
      <c r="J155" s="444"/>
      <c r="K155" s="444"/>
      <c r="L155" s="444"/>
      <c r="M155" s="444"/>
      <c r="N155" s="444"/>
      <c r="O155" s="444"/>
      <c r="P155" s="444"/>
      <c r="Q155" s="444"/>
    </row>
    <row r="156" spans="1:17" ht="25.15" customHeight="1">
      <c r="F156" s="453"/>
      <c r="G156" s="444"/>
      <c r="H156" s="444"/>
      <c r="I156" s="444"/>
      <c r="J156" s="444"/>
      <c r="K156" s="444"/>
      <c r="L156" s="444"/>
      <c r="M156" s="444"/>
      <c r="N156" s="444"/>
      <c r="O156" s="444"/>
      <c r="P156" s="444"/>
      <c r="Q156" s="444"/>
    </row>
    <row r="157" spans="1:17" ht="25.15" customHeight="1">
      <c r="F157" s="453"/>
      <c r="G157" s="444"/>
      <c r="H157" s="444"/>
      <c r="I157" s="444"/>
      <c r="J157" s="444"/>
      <c r="K157" s="444"/>
      <c r="L157" s="444"/>
      <c r="M157" s="444"/>
      <c r="N157" s="444"/>
      <c r="O157" s="444"/>
      <c r="P157" s="444"/>
      <c r="Q157" s="444"/>
    </row>
    <row r="158" spans="1:17" ht="25.15" customHeight="1">
      <c r="F158" s="453"/>
      <c r="G158" s="444"/>
      <c r="H158" s="444"/>
      <c r="I158" s="444"/>
      <c r="J158" s="444"/>
      <c r="K158" s="444"/>
      <c r="L158" s="444"/>
      <c r="M158" s="444"/>
      <c r="N158" s="444"/>
      <c r="O158" s="444"/>
      <c r="P158" s="444"/>
      <c r="Q158" s="444"/>
    </row>
    <row r="159" spans="1:17" ht="25.15" customHeight="1">
      <c r="F159" s="453"/>
      <c r="G159" s="444"/>
      <c r="H159" s="444"/>
      <c r="I159" s="444"/>
      <c r="J159" s="444"/>
      <c r="K159" s="444"/>
      <c r="L159" s="444"/>
      <c r="M159" s="444"/>
      <c r="N159" s="444"/>
      <c r="O159" s="444"/>
      <c r="P159" s="444"/>
      <c r="Q159" s="444"/>
    </row>
    <row r="160" spans="1:17" ht="25.15" customHeight="1">
      <c r="F160" s="453"/>
      <c r="G160" s="444"/>
      <c r="H160" s="444"/>
      <c r="I160" s="444"/>
      <c r="J160" s="444"/>
      <c r="K160" s="444"/>
      <c r="L160" s="444"/>
      <c r="M160" s="444"/>
      <c r="N160" s="444"/>
      <c r="O160" s="444"/>
      <c r="P160" s="444"/>
      <c r="Q160" s="444"/>
    </row>
    <row r="161" spans="5:17" ht="25.15" customHeight="1">
      <c r="E161" s="454"/>
      <c r="F161" s="453"/>
      <c r="G161" s="444"/>
      <c r="H161" s="444"/>
      <c r="I161" s="444"/>
      <c r="J161" s="444"/>
      <c r="K161" s="444"/>
      <c r="L161" s="444"/>
      <c r="M161" s="444"/>
      <c r="N161" s="444"/>
      <c r="O161" s="444"/>
      <c r="P161" s="444"/>
      <c r="Q161" s="444"/>
    </row>
    <row r="162" spans="5:17" ht="25.15" customHeight="1">
      <c r="E162" s="454"/>
      <c r="F162" s="453"/>
      <c r="G162" s="444"/>
      <c r="H162" s="444"/>
      <c r="I162" s="444"/>
      <c r="J162" s="444"/>
      <c r="K162" s="444"/>
      <c r="L162" s="444"/>
      <c r="M162" s="444"/>
      <c r="N162" s="444"/>
      <c r="O162" s="444"/>
      <c r="P162" s="444"/>
      <c r="Q162" s="444"/>
    </row>
    <row r="163" spans="5:17" ht="25.15" customHeight="1">
      <c r="E163" s="454"/>
      <c r="F163" s="453"/>
      <c r="G163" s="444"/>
      <c r="H163" s="444"/>
      <c r="I163" s="444"/>
      <c r="J163" s="444"/>
      <c r="K163" s="444"/>
      <c r="L163" s="444"/>
      <c r="M163" s="444"/>
      <c r="N163" s="444"/>
      <c r="O163" s="444"/>
      <c r="P163" s="444"/>
      <c r="Q163" s="444"/>
    </row>
    <row r="164" spans="5:17" ht="25.15" customHeight="1">
      <c r="F164" s="453"/>
      <c r="G164" s="444"/>
      <c r="H164" s="444"/>
      <c r="I164" s="444"/>
      <c r="J164" s="444"/>
      <c r="K164" s="444"/>
      <c r="L164" s="444"/>
      <c r="M164" s="444"/>
      <c r="N164" s="444"/>
      <c r="O164" s="444"/>
      <c r="P164" s="444"/>
      <c r="Q164" s="444"/>
    </row>
    <row r="165" spans="5:17" ht="25.15" customHeight="1">
      <c r="F165" s="453"/>
      <c r="G165" s="444"/>
      <c r="H165" s="444"/>
      <c r="I165" s="444"/>
      <c r="J165" s="444"/>
      <c r="K165" s="444"/>
      <c r="L165" s="444"/>
      <c r="M165" s="444"/>
      <c r="N165" s="444"/>
      <c r="O165" s="444"/>
      <c r="P165" s="444"/>
      <c r="Q165" s="444"/>
    </row>
    <row r="166" spans="5:17" ht="25.15" customHeight="1">
      <c r="F166" s="453"/>
      <c r="G166" s="444"/>
      <c r="H166" s="444"/>
      <c r="I166" s="444"/>
      <c r="J166" s="444"/>
      <c r="K166" s="444"/>
      <c r="L166" s="444"/>
      <c r="M166" s="444"/>
      <c r="N166" s="444"/>
      <c r="O166" s="444"/>
      <c r="P166" s="444"/>
      <c r="Q166" s="444"/>
    </row>
    <row r="167" spans="5:17" ht="25.15" customHeight="1">
      <c r="F167" s="453"/>
      <c r="G167" s="444"/>
      <c r="H167" s="444"/>
      <c r="I167" s="444"/>
      <c r="J167" s="444"/>
      <c r="K167" s="444"/>
      <c r="L167" s="444"/>
      <c r="M167" s="444"/>
      <c r="N167" s="444"/>
      <c r="O167" s="444"/>
      <c r="P167" s="444"/>
      <c r="Q167" s="444"/>
    </row>
    <row r="168" spans="5:17" ht="25.15" customHeight="1">
      <c r="F168" s="453"/>
      <c r="G168" s="444"/>
      <c r="H168" s="444"/>
      <c r="I168" s="444"/>
      <c r="J168" s="444"/>
      <c r="K168" s="444"/>
      <c r="L168" s="444"/>
      <c r="M168" s="444"/>
      <c r="N168" s="444"/>
      <c r="O168" s="444"/>
      <c r="P168" s="444"/>
      <c r="Q168" s="444"/>
    </row>
    <row r="169" spans="5:17" ht="25.15" customHeight="1">
      <c r="F169" s="453"/>
      <c r="G169" s="444"/>
      <c r="H169" s="444"/>
      <c r="I169" s="444"/>
      <c r="J169" s="444"/>
      <c r="K169" s="444"/>
      <c r="L169" s="444"/>
      <c r="M169" s="444"/>
      <c r="N169" s="444"/>
      <c r="O169" s="444"/>
      <c r="P169" s="444"/>
      <c r="Q169" s="444"/>
    </row>
    <row r="170" spans="5:17" ht="25.15" customHeight="1">
      <c r="F170" s="453"/>
      <c r="G170" s="444"/>
      <c r="H170" s="444"/>
      <c r="I170" s="444"/>
      <c r="J170" s="444"/>
      <c r="K170" s="444"/>
      <c r="L170" s="444"/>
      <c r="M170" s="444"/>
      <c r="N170" s="444"/>
      <c r="O170" s="444"/>
      <c r="P170" s="444"/>
      <c r="Q170" s="444"/>
    </row>
    <row r="171" spans="5:17" ht="25.15" customHeight="1">
      <c r="F171" s="453"/>
      <c r="G171" s="444"/>
      <c r="H171" s="444"/>
      <c r="I171" s="444"/>
      <c r="J171" s="444"/>
      <c r="K171" s="444"/>
      <c r="L171" s="444"/>
      <c r="M171" s="444"/>
      <c r="N171" s="444"/>
      <c r="O171" s="444"/>
      <c r="P171" s="444"/>
      <c r="Q171" s="444"/>
    </row>
    <row r="172" spans="5:17" ht="25.15" customHeight="1">
      <c r="F172" s="453"/>
      <c r="G172" s="444"/>
      <c r="H172" s="444"/>
      <c r="I172" s="444"/>
      <c r="J172" s="444"/>
      <c r="K172" s="444"/>
      <c r="L172" s="444"/>
      <c r="M172" s="444"/>
      <c r="N172" s="444"/>
      <c r="O172" s="444"/>
      <c r="P172" s="444"/>
      <c r="Q172" s="444"/>
    </row>
    <row r="173" spans="5:17" ht="25.15" customHeight="1">
      <c r="F173" s="453"/>
      <c r="G173" s="444"/>
      <c r="H173" s="444"/>
      <c r="I173" s="444"/>
      <c r="J173" s="444"/>
      <c r="K173" s="444"/>
      <c r="L173" s="444"/>
      <c r="M173" s="444"/>
      <c r="N173" s="444"/>
      <c r="O173" s="444"/>
      <c r="P173" s="444"/>
      <c r="Q173" s="444"/>
    </row>
    <row r="174" spans="5:17" ht="25.15" customHeight="1">
      <c r="F174" s="453"/>
      <c r="G174" s="444"/>
      <c r="H174" s="444"/>
      <c r="I174" s="444"/>
      <c r="J174" s="444"/>
      <c r="K174" s="444"/>
      <c r="L174" s="444"/>
      <c r="M174" s="444"/>
      <c r="N174" s="444"/>
      <c r="O174" s="444"/>
      <c r="P174" s="444"/>
      <c r="Q174" s="444"/>
    </row>
    <row r="175" spans="5:17" ht="25.15" customHeight="1">
      <c r="F175" s="453"/>
      <c r="G175" s="444"/>
      <c r="H175" s="444"/>
      <c r="I175" s="444"/>
      <c r="J175" s="444"/>
      <c r="K175" s="444"/>
      <c r="L175" s="444"/>
      <c r="M175" s="444"/>
      <c r="N175" s="444"/>
      <c r="O175" s="444"/>
      <c r="P175" s="444"/>
      <c r="Q175" s="444"/>
    </row>
    <row r="176" spans="5:17" ht="25.15" customHeight="1">
      <c r="F176" s="453"/>
      <c r="G176" s="444"/>
      <c r="H176" s="444"/>
      <c r="I176" s="444"/>
      <c r="J176" s="444"/>
      <c r="K176" s="444"/>
      <c r="L176" s="444"/>
      <c r="M176" s="444"/>
      <c r="N176" s="444"/>
      <c r="O176" s="444"/>
      <c r="P176" s="444"/>
      <c r="Q176" s="444"/>
    </row>
    <row r="177" spans="6:17" ht="25.15" customHeight="1">
      <c r="F177" s="453"/>
      <c r="G177" s="444"/>
      <c r="H177" s="444"/>
      <c r="I177" s="444"/>
      <c r="J177" s="444"/>
      <c r="K177" s="444"/>
      <c r="L177" s="444"/>
      <c r="M177" s="444"/>
      <c r="N177" s="444"/>
      <c r="O177" s="444"/>
      <c r="P177" s="444"/>
      <c r="Q177" s="444"/>
    </row>
    <row r="178" spans="6:17" ht="25.15" customHeight="1">
      <c r="F178" s="453"/>
      <c r="G178" s="444"/>
      <c r="H178" s="444"/>
      <c r="I178" s="444"/>
      <c r="J178" s="444"/>
      <c r="K178" s="444"/>
      <c r="L178" s="444"/>
      <c r="M178" s="444"/>
      <c r="N178" s="444"/>
      <c r="O178" s="444"/>
      <c r="P178" s="444"/>
      <c r="Q178" s="444"/>
    </row>
    <row r="179" spans="6:17" ht="25.15" customHeight="1">
      <c r="F179" s="453"/>
      <c r="G179" s="444"/>
      <c r="H179" s="444"/>
      <c r="I179" s="444"/>
      <c r="J179" s="444"/>
      <c r="K179" s="444"/>
      <c r="L179" s="444"/>
      <c r="M179" s="444"/>
      <c r="N179" s="444"/>
      <c r="O179" s="444"/>
      <c r="P179" s="444"/>
      <c r="Q179" s="444"/>
    </row>
    <row r="180" spans="6:17" ht="25.15" customHeight="1">
      <c r="F180" s="453"/>
      <c r="G180" s="444"/>
      <c r="H180" s="444"/>
      <c r="I180" s="444"/>
      <c r="J180" s="444"/>
      <c r="K180" s="444"/>
      <c r="L180" s="444"/>
      <c r="M180" s="444"/>
      <c r="N180" s="444"/>
      <c r="O180" s="444"/>
      <c r="P180" s="444"/>
      <c r="Q180" s="444"/>
    </row>
    <row r="181" spans="6:17" ht="25.15" customHeight="1">
      <c r="F181" s="453"/>
      <c r="G181" s="444"/>
      <c r="H181" s="444"/>
      <c r="I181" s="444"/>
      <c r="J181" s="444"/>
      <c r="K181" s="444"/>
      <c r="L181" s="444"/>
      <c r="M181" s="444"/>
      <c r="N181" s="444"/>
      <c r="O181" s="444"/>
      <c r="P181" s="444"/>
      <c r="Q181" s="444"/>
    </row>
    <row r="182" spans="6:17" ht="25.15" customHeight="1">
      <c r="F182" s="453"/>
      <c r="G182" s="444"/>
      <c r="H182" s="444"/>
      <c r="I182" s="444"/>
      <c r="J182" s="444"/>
      <c r="K182" s="444"/>
      <c r="L182" s="444"/>
      <c r="M182" s="444"/>
      <c r="N182" s="444"/>
      <c r="O182" s="444"/>
      <c r="P182" s="444"/>
      <c r="Q182" s="444"/>
    </row>
    <row r="183" spans="6:17" ht="25.15" customHeight="1">
      <c r="F183" s="453"/>
      <c r="G183" s="444"/>
      <c r="H183" s="444"/>
      <c r="I183" s="444"/>
      <c r="J183" s="444"/>
      <c r="K183" s="444"/>
      <c r="L183" s="444"/>
      <c r="M183" s="444"/>
      <c r="N183" s="444"/>
      <c r="O183" s="444"/>
      <c r="P183" s="444"/>
      <c r="Q183" s="444"/>
    </row>
    <row r="184" spans="6:17" ht="25.15" customHeight="1">
      <c r="F184" s="453"/>
      <c r="G184" s="444"/>
      <c r="H184" s="444"/>
      <c r="I184" s="444"/>
      <c r="J184" s="444"/>
      <c r="K184" s="444"/>
      <c r="L184" s="444"/>
      <c r="M184" s="444"/>
      <c r="N184" s="444"/>
      <c r="O184" s="444"/>
      <c r="P184" s="444"/>
      <c r="Q184" s="444"/>
    </row>
    <row r="185" spans="6:17" ht="25.15" customHeight="1">
      <c r="F185" s="453"/>
      <c r="G185" s="444"/>
      <c r="H185" s="444"/>
      <c r="I185" s="444"/>
      <c r="J185" s="444"/>
      <c r="K185" s="444"/>
      <c r="L185" s="444"/>
      <c r="M185" s="444"/>
      <c r="N185" s="444"/>
      <c r="O185" s="444"/>
      <c r="P185" s="444"/>
      <c r="Q185" s="444"/>
    </row>
    <row r="186" spans="6:17" ht="25.15" customHeight="1">
      <c r="F186" s="453"/>
      <c r="G186" s="444"/>
      <c r="H186" s="444"/>
      <c r="I186" s="444"/>
      <c r="J186" s="444"/>
      <c r="K186" s="444"/>
      <c r="L186" s="444"/>
      <c r="M186" s="444"/>
      <c r="N186" s="444"/>
      <c r="O186" s="444"/>
      <c r="P186" s="444"/>
      <c r="Q186" s="444"/>
    </row>
    <row r="187" spans="6:17" ht="25.15" customHeight="1">
      <c r="F187" s="453"/>
      <c r="G187" s="444"/>
      <c r="H187" s="444"/>
      <c r="I187" s="444"/>
      <c r="J187" s="444"/>
      <c r="K187" s="444"/>
      <c r="L187" s="444"/>
      <c r="M187" s="444"/>
      <c r="N187" s="444"/>
      <c r="O187" s="444"/>
      <c r="P187" s="444"/>
      <c r="Q187" s="444"/>
    </row>
    <row r="188" spans="6:17" ht="25.15" customHeight="1">
      <c r="F188" s="453"/>
      <c r="G188" s="444"/>
      <c r="H188" s="444"/>
      <c r="I188" s="444"/>
      <c r="J188" s="444"/>
      <c r="K188" s="444"/>
      <c r="L188" s="444"/>
      <c r="M188" s="444"/>
      <c r="N188" s="444"/>
      <c r="O188" s="444"/>
      <c r="P188" s="444"/>
      <c r="Q188" s="444"/>
    </row>
    <row r="189" spans="6:17" ht="25.15" customHeight="1">
      <c r="F189" s="453"/>
      <c r="G189" s="444"/>
      <c r="H189" s="444"/>
      <c r="I189" s="444"/>
      <c r="J189" s="444"/>
      <c r="K189" s="444"/>
      <c r="L189" s="444"/>
      <c r="M189" s="444"/>
      <c r="N189" s="444"/>
      <c r="O189" s="444"/>
      <c r="P189" s="444"/>
      <c r="Q189" s="444"/>
    </row>
    <row r="190" spans="6:17" ht="25.15" customHeight="1">
      <c r="F190" s="453"/>
      <c r="G190" s="444"/>
      <c r="H190" s="444"/>
      <c r="I190" s="444"/>
      <c r="J190" s="444"/>
      <c r="K190" s="444"/>
      <c r="L190" s="444"/>
      <c r="M190" s="444"/>
      <c r="N190" s="444"/>
      <c r="O190" s="444"/>
      <c r="P190" s="444"/>
      <c r="Q190" s="444"/>
    </row>
    <row r="191" spans="6:17" ht="25.15" customHeight="1">
      <c r="F191" s="453"/>
      <c r="G191" s="444"/>
      <c r="H191" s="444"/>
      <c r="I191" s="444"/>
      <c r="J191" s="444"/>
      <c r="K191" s="444"/>
      <c r="L191" s="444"/>
      <c r="M191" s="444"/>
      <c r="N191" s="444"/>
      <c r="O191" s="444"/>
      <c r="P191" s="444"/>
      <c r="Q191" s="444"/>
    </row>
    <row r="192" spans="6:17" ht="25.15" customHeight="1">
      <c r="F192" s="453"/>
      <c r="G192" s="444"/>
      <c r="H192" s="444"/>
      <c r="I192" s="444"/>
      <c r="J192" s="444"/>
      <c r="K192" s="444"/>
      <c r="L192" s="444"/>
      <c r="M192" s="444"/>
      <c r="N192" s="444"/>
      <c r="O192" s="444"/>
      <c r="P192" s="444"/>
      <c r="Q192" s="444"/>
    </row>
    <row r="193" spans="6:17" ht="25.15" customHeight="1">
      <c r="F193" s="453"/>
      <c r="G193" s="444"/>
      <c r="H193" s="444"/>
      <c r="I193" s="444"/>
      <c r="J193" s="444"/>
      <c r="K193" s="444"/>
      <c r="L193" s="444"/>
      <c r="M193" s="444"/>
      <c r="N193" s="444"/>
      <c r="O193" s="444"/>
      <c r="P193" s="444"/>
      <c r="Q193" s="444"/>
    </row>
    <row r="194" spans="6:17" ht="25.15" customHeight="1">
      <c r="F194" s="453"/>
      <c r="G194" s="444"/>
      <c r="H194" s="444"/>
      <c r="I194" s="444"/>
      <c r="J194" s="444"/>
      <c r="K194" s="444"/>
      <c r="L194" s="444"/>
      <c r="M194" s="444"/>
      <c r="N194" s="444"/>
      <c r="O194" s="444"/>
      <c r="P194" s="444"/>
      <c r="Q194" s="444"/>
    </row>
    <row r="195" spans="6:17" ht="25.15" customHeight="1">
      <c r="F195" s="453"/>
      <c r="G195" s="444"/>
      <c r="H195" s="444"/>
      <c r="I195" s="444"/>
      <c r="J195" s="444"/>
      <c r="K195" s="444"/>
      <c r="L195" s="444"/>
      <c r="M195" s="444"/>
      <c r="N195" s="444"/>
      <c r="O195" s="444"/>
      <c r="P195" s="444"/>
      <c r="Q195" s="444"/>
    </row>
    <row r="196" spans="6:17" ht="25.15" customHeight="1">
      <c r="F196" s="453"/>
      <c r="G196" s="444"/>
      <c r="H196" s="444"/>
      <c r="I196" s="444"/>
      <c r="J196" s="444"/>
      <c r="K196" s="444"/>
      <c r="L196" s="444"/>
      <c r="M196" s="444"/>
      <c r="N196" s="444"/>
      <c r="O196" s="444"/>
      <c r="P196" s="444"/>
      <c r="Q196" s="444"/>
    </row>
    <row r="197" spans="6:17" ht="25.15" customHeight="1">
      <c r="F197" s="453"/>
      <c r="G197" s="444"/>
      <c r="H197" s="444"/>
      <c r="I197" s="444"/>
      <c r="J197" s="444"/>
      <c r="K197" s="444"/>
      <c r="L197" s="444"/>
      <c r="M197" s="444"/>
      <c r="N197" s="444"/>
      <c r="O197" s="444"/>
      <c r="P197" s="444"/>
      <c r="Q197" s="444"/>
    </row>
    <row r="198" spans="6:17" ht="25.15" customHeight="1">
      <c r="F198" s="453"/>
      <c r="G198" s="444"/>
      <c r="H198" s="444"/>
      <c r="I198" s="444"/>
      <c r="J198" s="444"/>
      <c r="K198" s="444"/>
      <c r="L198" s="444"/>
      <c r="M198" s="444"/>
      <c r="N198" s="444"/>
      <c r="O198" s="444"/>
      <c r="P198" s="444"/>
      <c r="Q198" s="444"/>
    </row>
    <row r="199" spans="6:17" ht="25.15" customHeight="1">
      <c r="F199" s="453"/>
      <c r="G199" s="444"/>
      <c r="H199" s="444"/>
      <c r="I199" s="444"/>
      <c r="J199" s="444"/>
      <c r="K199" s="444"/>
      <c r="L199" s="444"/>
      <c r="M199" s="444"/>
      <c r="N199" s="444"/>
      <c r="O199" s="444"/>
      <c r="P199" s="444"/>
      <c r="Q199" s="444"/>
    </row>
    <row r="200" spans="6:17" ht="25.15" customHeight="1">
      <c r="F200" s="453"/>
      <c r="G200" s="444"/>
      <c r="H200" s="444"/>
      <c r="I200" s="444"/>
      <c r="J200" s="444"/>
      <c r="K200" s="444"/>
      <c r="L200" s="444"/>
      <c r="M200" s="444"/>
      <c r="N200" s="444"/>
      <c r="O200" s="444"/>
      <c r="P200" s="444"/>
      <c r="Q200" s="444"/>
    </row>
    <row r="201" spans="6:17" ht="25.15" customHeight="1">
      <c r="F201" s="453"/>
      <c r="G201" s="444"/>
      <c r="H201" s="444"/>
      <c r="I201" s="444"/>
      <c r="J201" s="444"/>
      <c r="K201" s="444"/>
      <c r="L201" s="444"/>
      <c r="M201" s="444"/>
      <c r="N201" s="444"/>
      <c r="O201" s="444"/>
      <c r="P201" s="444"/>
      <c r="Q201" s="444"/>
    </row>
    <row r="202" spans="6:17" ht="25.15" customHeight="1">
      <c r="F202" s="453"/>
      <c r="G202" s="444"/>
      <c r="H202" s="444"/>
      <c r="I202" s="444"/>
      <c r="J202" s="444"/>
      <c r="K202" s="444"/>
      <c r="L202" s="444"/>
      <c r="M202" s="444"/>
      <c r="N202" s="444"/>
      <c r="O202" s="444"/>
      <c r="P202" s="444"/>
      <c r="Q202" s="444"/>
    </row>
    <row r="203" spans="6:17" ht="25.15" customHeight="1">
      <c r="F203" s="453"/>
      <c r="G203" s="444"/>
      <c r="H203" s="444"/>
      <c r="I203" s="444"/>
      <c r="J203" s="444"/>
      <c r="K203" s="444"/>
      <c r="L203" s="444"/>
      <c r="M203" s="444"/>
      <c r="N203" s="444"/>
      <c r="O203" s="444"/>
      <c r="P203" s="444"/>
      <c r="Q203" s="444"/>
    </row>
    <row r="204" spans="6:17" ht="25.15" customHeight="1">
      <c r="F204" s="453"/>
      <c r="G204" s="444"/>
      <c r="H204" s="444"/>
      <c r="I204" s="444"/>
      <c r="J204" s="444"/>
      <c r="K204" s="444"/>
      <c r="L204" s="444"/>
      <c r="M204" s="444"/>
      <c r="N204" s="444"/>
      <c r="O204" s="444"/>
      <c r="P204" s="444"/>
      <c r="Q204" s="444"/>
    </row>
    <row r="205" spans="6:17" ht="25.15" customHeight="1">
      <c r="F205" s="453"/>
      <c r="G205" s="444"/>
      <c r="H205" s="444"/>
      <c r="I205" s="444"/>
      <c r="J205" s="444"/>
      <c r="K205" s="444"/>
      <c r="L205" s="444"/>
      <c r="M205" s="444"/>
      <c r="N205" s="444"/>
      <c r="O205" s="444"/>
      <c r="P205" s="444"/>
      <c r="Q205" s="444"/>
    </row>
    <row r="206" spans="6:17" ht="25.15" customHeight="1">
      <c r="F206" s="453"/>
      <c r="G206" s="444"/>
      <c r="H206" s="444"/>
      <c r="I206" s="444"/>
      <c r="J206" s="444"/>
      <c r="K206" s="444"/>
      <c r="L206" s="444"/>
      <c r="M206" s="444"/>
      <c r="N206" s="444"/>
      <c r="O206" s="444"/>
      <c r="P206" s="444"/>
      <c r="Q206" s="444"/>
    </row>
    <row r="207" spans="6:17" ht="25.15" customHeight="1">
      <c r="F207" s="453"/>
      <c r="G207" s="444"/>
      <c r="H207" s="444"/>
      <c r="I207" s="444"/>
      <c r="J207" s="444"/>
      <c r="K207" s="444"/>
      <c r="L207" s="444"/>
      <c r="M207" s="444"/>
      <c r="N207" s="444"/>
      <c r="O207" s="444"/>
      <c r="P207" s="444"/>
      <c r="Q207" s="444"/>
    </row>
    <row r="208" spans="6:17" ht="25.15" customHeight="1">
      <c r="F208" s="453"/>
      <c r="G208" s="444"/>
      <c r="H208" s="444"/>
      <c r="I208" s="444"/>
      <c r="J208" s="444"/>
      <c r="K208" s="444"/>
      <c r="L208" s="444"/>
      <c r="M208" s="444"/>
      <c r="N208" s="444"/>
      <c r="O208" s="444"/>
      <c r="P208" s="444"/>
      <c r="Q208" s="444"/>
    </row>
    <row r="209" spans="6:17" ht="25.15" customHeight="1">
      <c r="F209" s="453"/>
      <c r="G209" s="444"/>
      <c r="H209" s="444"/>
      <c r="I209" s="444"/>
      <c r="J209" s="444"/>
      <c r="K209" s="444"/>
      <c r="L209" s="444"/>
      <c r="M209" s="444"/>
      <c r="N209" s="444"/>
      <c r="O209" s="444"/>
      <c r="P209" s="444"/>
      <c r="Q209" s="444"/>
    </row>
    <row r="210" spans="6:17" ht="25.15" customHeight="1">
      <c r="F210" s="453"/>
      <c r="G210" s="444"/>
      <c r="H210" s="444"/>
      <c r="I210" s="444"/>
      <c r="J210" s="444"/>
      <c r="K210" s="444"/>
      <c r="L210" s="444"/>
      <c r="M210" s="444"/>
      <c r="N210" s="444"/>
      <c r="O210" s="444"/>
      <c r="P210" s="444"/>
      <c r="Q210" s="444"/>
    </row>
    <row r="211" spans="6:17" ht="25.15" customHeight="1">
      <c r="F211" s="453"/>
      <c r="G211" s="444"/>
      <c r="H211" s="444"/>
      <c r="I211" s="444"/>
      <c r="J211" s="444"/>
      <c r="K211" s="444"/>
      <c r="L211" s="444"/>
      <c r="M211" s="444"/>
      <c r="N211" s="444"/>
      <c r="O211" s="444"/>
      <c r="P211" s="444"/>
      <c r="Q211" s="444"/>
    </row>
    <row r="212" spans="6:17" ht="25.15" customHeight="1">
      <c r="F212" s="453"/>
      <c r="G212" s="444"/>
      <c r="H212" s="444"/>
      <c r="I212" s="444"/>
      <c r="J212" s="444"/>
      <c r="K212" s="444"/>
      <c r="L212" s="444"/>
      <c r="M212" s="444"/>
      <c r="N212" s="444"/>
      <c r="O212" s="444"/>
      <c r="P212" s="444"/>
      <c r="Q212" s="444"/>
    </row>
    <row r="213" spans="6:17" ht="25.15" customHeight="1">
      <c r="F213" s="453"/>
      <c r="G213" s="444"/>
      <c r="H213" s="444"/>
      <c r="I213" s="444"/>
      <c r="J213" s="444"/>
      <c r="K213" s="444"/>
      <c r="L213" s="444"/>
      <c r="M213" s="444"/>
      <c r="N213" s="444"/>
      <c r="O213" s="444"/>
      <c r="P213" s="444"/>
      <c r="Q213" s="444"/>
    </row>
    <row r="214" spans="6:17" ht="25.15" customHeight="1">
      <c r="F214" s="453"/>
      <c r="G214" s="444"/>
      <c r="H214" s="444"/>
      <c r="I214" s="444"/>
      <c r="J214" s="444"/>
      <c r="K214" s="444"/>
      <c r="L214" s="444"/>
      <c r="M214" s="444"/>
      <c r="N214" s="444"/>
      <c r="O214" s="444"/>
      <c r="P214" s="444"/>
      <c r="Q214" s="444"/>
    </row>
    <row r="215" spans="6:17" ht="25.15" customHeight="1">
      <c r="F215" s="453"/>
      <c r="G215" s="444"/>
      <c r="H215" s="444"/>
      <c r="I215" s="444"/>
      <c r="J215" s="444"/>
      <c r="K215" s="444"/>
      <c r="L215" s="444"/>
      <c r="M215" s="444"/>
      <c r="N215" s="444"/>
      <c r="O215" s="444"/>
      <c r="P215" s="444"/>
      <c r="Q215" s="444"/>
    </row>
    <row r="216" spans="6:17" ht="25.15" customHeight="1">
      <c r="F216" s="453"/>
      <c r="G216" s="444"/>
      <c r="H216" s="444"/>
      <c r="I216" s="444"/>
      <c r="J216" s="444"/>
      <c r="K216" s="444"/>
      <c r="L216" s="444"/>
      <c r="M216" s="444"/>
      <c r="N216" s="444"/>
      <c r="O216" s="444"/>
      <c r="P216" s="444"/>
      <c r="Q216" s="444"/>
    </row>
    <row r="217" spans="6:17" ht="25.15" customHeight="1">
      <c r="F217" s="453"/>
      <c r="G217" s="444"/>
      <c r="H217" s="444"/>
      <c r="I217" s="444"/>
      <c r="J217" s="444"/>
      <c r="K217" s="444"/>
      <c r="L217" s="444"/>
      <c r="M217" s="444"/>
      <c r="N217" s="444"/>
      <c r="O217" s="444"/>
      <c r="P217" s="444"/>
      <c r="Q217" s="444"/>
    </row>
    <row r="218" spans="6:17" ht="25.15" customHeight="1">
      <c r="F218" s="453"/>
      <c r="G218" s="444"/>
      <c r="H218" s="444"/>
      <c r="I218" s="444"/>
      <c r="J218" s="444"/>
      <c r="K218" s="444"/>
      <c r="L218" s="444"/>
      <c r="M218" s="444"/>
      <c r="N218" s="444"/>
      <c r="O218" s="444"/>
      <c r="P218" s="444"/>
      <c r="Q218" s="444"/>
    </row>
    <row r="219" spans="6:17" ht="25.15" customHeight="1">
      <c r="F219" s="453"/>
      <c r="G219" s="444"/>
      <c r="H219" s="444"/>
      <c r="I219" s="444"/>
      <c r="J219" s="444"/>
      <c r="K219" s="444"/>
      <c r="L219" s="444"/>
      <c r="M219" s="444"/>
      <c r="N219" s="444"/>
      <c r="O219" s="444"/>
      <c r="P219" s="444"/>
      <c r="Q219" s="444"/>
    </row>
    <row r="220" spans="6:17" ht="25.15" customHeight="1">
      <c r="F220" s="453"/>
      <c r="G220" s="444"/>
      <c r="H220" s="444"/>
      <c r="I220" s="444"/>
      <c r="J220" s="444"/>
      <c r="K220" s="444"/>
      <c r="L220" s="444"/>
      <c r="M220" s="444"/>
      <c r="N220" s="444"/>
      <c r="O220" s="444"/>
      <c r="P220" s="444"/>
      <c r="Q220" s="444"/>
    </row>
    <row r="221" spans="6:17" ht="25.15" customHeight="1">
      <c r="F221" s="453"/>
      <c r="G221" s="444"/>
      <c r="H221" s="444"/>
      <c r="I221" s="444"/>
      <c r="J221" s="444"/>
      <c r="K221" s="444"/>
      <c r="L221" s="444"/>
      <c r="M221" s="444"/>
      <c r="N221" s="444"/>
      <c r="O221" s="444"/>
      <c r="P221" s="444"/>
      <c r="Q221" s="444"/>
    </row>
    <row r="222" spans="6:17" ht="25.15" customHeight="1">
      <c r="F222" s="453"/>
      <c r="G222" s="444"/>
      <c r="H222" s="444"/>
      <c r="I222" s="444"/>
      <c r="J222" s="444"/>
      <c r="K222" s="444"/>
      <c r="L222" s="444"/>
      <c r="M222" s="444"/>
      <c r="N222" s="444"/>
      <c r="O222" s="444"/>
      <c r="P222" s="444"/>
      <c r="Q222" s="444"/>
    </row>
    <row r="223" spans="6:17" ht="25.15" customHeight="1">
      <c r="F223" s="453"/>
      <c r="G223" s="444"/>
      <c r="H223" s="444"/>
      <c r="I223" s="444"/>
      <c r="J223" s="444"/>
      <c r="K223" s="444"/>
      <c r="L223" s="444"/>
      <c r="M223" s="444"/>
      <c r="N223" s="444"/>
      <c r="O223" s="444"/>
      <c r="P223" s="444"/>
      <c r="Q223" s="444"/>
    </row>
    <row r="224" spans="6:17" ht="25.15" customHeight="1">
      <c r="F224" s="453"/>
      <c r="G224" s="444"/>
      <c r="H224" s="444"/>
      <c r="I224" s="444"/>
      <c r="J224" s="444"/>
      <c r="K224" s="444"/>
      <c r="L224" s="444"/>
      <c r="M224" s="444"/>
      <c r="N224" s="444"/>
      <c r="O224" s="444"/>
      <c r="P224" s="444"/>
      <c r="Q224" s="444"/>
    </row>
    <row r="225" spans="6:17" ht="25.15" customHeight="1">
      <c r="F225" s="453"/>
      <c r="G225" s="444"/>
      <c r="H225" s="444"/>
      <c r="I225" s="444"/>
      <c r="J225" s="444"/>
      <c r="K225" s="444"/>
      <c r="L225" s="444"/>
      <c r="M225" s="444"/>
      <c r="N225" s="444"/>
      <c r="O225" s="444"/>
      <c r="P225" s="444"/>
      <c r="Q225" s="444"/>
    </row>
    <row r="226" spans="6:17" ht="25.15" customHeight="1">
      <c r="F226" s="453"/>
      <c r="G226" s="444"/>
      <c r="H226" s="444"/>
      <c r="I226" s="444"/>
      <c r="J226" s="444"/>
      <c r="K226" s="444"/>
      <c r="L226" s="444"/>
      <c r="M226" s="444"/>
      <c r="N226" s="444"/>
      <c r="O226" s="444"/>
      <c r="P226" s="444"/>
      <c r="Q226" s="444"/>
    </row>
    <row r="227" spans="6:17" ht="25.15" customHeight="1">
      <c r="F227" s="453"/>
      <c r="G227" s="444"/>
      <c r="H227" s="444"/>
      <c r="I227" s="444"/>
      <c r="J227" s="444"/>
      <c r="K227" s="444"/>
      <c r="L227" s="444"/>
      <c r="M227" s="444"/>
      <c r="N227" s="444"/>
      <c r="O227" s="444"/>
      <c r="P227" s="444"/>
      <c r="Q227" s="444"/>
    </row>
    <row r="228" spans="6:17" ht="25.15" customHeight="1">
      <c r="F228" s="453"/>
      <c r="G228" s="444"/>
      <c r="H228" s="444"/>
      <c r="I228" s="444"/>
      <c r="J228" s="444"/>
      <c r="K228" s="444"/>
      <c r="L228" s="444"/>
      <c r="M228" s="444"/>
      <c r="N228" s="444"/>
      <c r="O228" s="444"/>
      <c r="P228" s="444"/>
      <c r="Q228" s="444"/>
    </row>
    <row r="229" spans="6:17" ht="25.15" customHeight="1">
      <c r="F229" s="453"/>
      <c r="G229" s="444"/>
      <c r="H229" s="444"/>
      <c r="I229" s="444"/>
      <c r="J229" s="444"/>
      <c r="K229" s="444"/>
      <c r="L229" s="444"/>
      <c r="M229" s="444"/>
      <c r="N229" s="444"/>
      <c r="O229" s="444"/>
      <c r="P229" s="444"/>
      <c r="Q229" s="444"/>
    </row>
    <row r="230" spans="6:17" ht="25.15" customHeight="1">
      <c r="F230" s="453"/>
      <c r="G230" s="444"/>
      <c r="H230" s="444"/>
      <c r="I230" s="444"/>
      <c r="J230" s="444"/>
      <c r="K230" s="444"/>
      <c r="L230" s="444"/>
      <c r="M230" s="444"/>
      <c r="N230" s="444"/>
      <c r="O230" s="444"/>
      <c r="P230" s="444"/>
      <c r="Q230" s="444"/>
    </row>
    <row r="231" spans="6:17" ht="25.15" customHeight="1">
      <c r="F231" s="453"/>
      <c r="G231" s="444"/>
      <c r="H231" s="444"/>
      <c r="I231" s="444"/>
      <c r="J231" s="444"/>
      <c r="K231" s="444"/>
      <c r="L231" s="444"/>
      <c r="M231" s="444"/>
      <c r="N231" s="444"/>
      <c r="O231" s="444"/>
      <c r="P231" s="444"/>
      <c r="Q231" s="444"/>
    </row>
    <row r="232" spans="6:17" ht="25.15" customHeight="1">
      <c r="F232" s="453"/>
      <c r="G232" s="444"/>
      <c r="H232" s="444"/>
      <c r="I232" s="444"/>
      <c r="J232" s="444"/>
      <c r="K232" s="444"/>
      <c r="L232" s="444"/>
      <c r="M232" s="444"/>
      <c r="N232" s="444"/>
      <c r="O232" s="444"/>
      <c r="P232" s="444"/>
      <c r="Q232" s="444"/>
    </row>
    <row r="233" spans="6:17" ht="25.15" customHeight="1">
      <c r="F233" s="453"/>
      <c r="G233" s="444"/>
      <c r="H233" s="444"/>
      <c r="I233" s="444"/>
      <c r="J233" s="444"/>
      <c r="K233" s="444"/>
      <c r="L233" s="444"/>
      <c r="M233" s="444"/>
      <c r="N233" s="444"/>
      <c r="O233" s="444"/>
      <c r="P233" s="444"/>
      <c r="Q233" s="444"/>
    </row>
    <row r="234" spans="6:17" ht="25.15" customHeight="1">
      <c r="F234" s="453"/>
      <c r="G234" s="444"/>
      <c r="H234" s="444"/>
      <c r="I234" s="444"/>
      <c r="J234" s="444"/>
      <c r="K234" s="444"/>
      <c r="L234" s="444"/>
      <c r="M234" s="444"/>
      <c r="N234" s="444"/>
      <c r="O234" s="444"/>
      <c r="P234" s="444"/>
      <c r="Q234" s="444"/>
    </row>
    <row r="235" spans="6:17" ht="25.15" customHeight="1">
      <c r="F235" s="453"/>
      <c r="G235" s="444"/>
      <c r="H235" s="444"/>
      <c r="I235" s="444"/>
      <c r="J235" s="444"/>
      <c r="K235" s="444"/>
      <c r="L235" s="444"/>
      <c r="M235" s="444"/>
      <c r="N235" s="444"/>
      <c r="O235" s="444"/>
      <c r="P235" s="444"/>
      <c r="Q235" s="444"/>
    </row>
    <row r="236" spans="6:17" ht="25.15" customHeight="1">
      <c r="F236" s="453"/>
      <c r="G236" s="444"/>
      <c r="H236" s="444"/>
      <c r="I236" s="444"/>
      <c r="J236" s="444"/>
      <c r="K236" s="444"/>
      <c r="L236" s="444"/>
      <c r="M236" s="444"/>
      <c r="N236" s="444"/>
      <c r="O236" s="444"/>
      <c r="P236" s="444"/>
      <c r="Q236" s="444"/>
    </row>
    <row r="237" spans="6:17" ht="25.15" customHeight="1">
      <c r="F237" s="453"/>
      <c r="G237" s="444"/>
      <c r="H237" s="444"/>
      <c r="I237" s="444"/>
      <c r="J237" s="444"/>
      <c r="K237" s="444"/>
      <c r="L237" s="444"/>
      <c r="M237" s="444"/>
      <c r="N237" s="444"/>
      <c r="O237" s="444"/>
      <c r="P237" s="444"/>
      <c r="Q237" s="444"/>
    </row>
    <row r="238" spans="6:17" ht="25.15" customHeight="1">
      <c r="F238" s="453"/>
      <c r="G238" s="444"/>
      <c r="H238" s="444"/>
      <c r="I238" s="444"/>
      <c r="J238" s="444"/>
      <c r="K238" s="444"/>
      <c r="L238" s="444"/>
      <c r="M238" s="444"/>
      <c r="N238" s="444"/>
      <c r="O238" s="444"/>
      <c r="P238" s="444"/>
      <c r="Q238" s="444"/>
    </row>
    <row r="239" spans="6:17" ht="25.15" customHeight="1">
      <c r="F239" s="453"/>
      <c r="G239" s="444"/>
      <c r="H239" s="444"/>
      <c r="I239" s="444"/>
      <c r="J239" s="444"/>
      <c r="K239" s="444"/>
      <c r="L239" s="444"/>
      <c r="M239" s="444"/>
      <c r="N239" s="444"/>
      <c r="O239" s="444"/>
      <c r="P239" s="444"/>
      <c r="Q239" s="444"/>
    </row>
    <row r="240" spans="6:17" ht="25.15" customHeight="1">
      <c r="F240" s="453"/>
      <c r="G240" s="444"/>
      <c r="H240" s="444"/>
      <c r="I240" s="444"/>
      <c r="J240" s="444"/>
      <c r="K240" s="444"/>
      <c r="L240" s="444"/>
      <c r="M240" s="444"/>
      <c r="N240" s="444"/>
      <c r="O240" s="444"/>
      <c r="P240" s="444"/>
      <c r="Q240" s="444"/>
    </row>
    <row r="241" spans="6:17" ht="25.15" customHeight="1">
      <c r="F241" s="453"/>
      <c r="G241" s="444"/>
      <c r="H241" s="444"/>
      <c r="I241" s="444"/>
      <c r="J241" s="444"/>
      <c r="K241" s="444"/>
      <c r="L241" s="444"/>
      <c r="M241" s="444"/>
      <c r="N241" s="444"/>
      <c r="O241" s="444"/>
      <c r="P241" s="444"/>
      <c r="Q241" s="444"/>
    </row>
    <row r="242" spans="6:17" ht="25.15" customHeight="1">
      <c r="F242" s="453"/>
      <c r="G242" s="444"/>
      <c r="H242" s="444"/>
      <c r="I242" s="444"/>
      <c r="J242" s="444"/>
      <c r="K242" s="444"/>
      <c r="L242" s="444"/>
      <c r="M242" s="444"/>
      <c r="N242" s="444"/>
      <c r="O242" s="444"/>
      <c r="P242" s="444"/>
      <c r="Q242" s="444"/>
    </row>
    <row r="243" spans="6:17" ht="25.15" customHeight="1">
      <c r="F243" s="453"/>
      <c r="G243" s="444"/>
      <c r="H243" s="444"/>
      <c r="I243" s="444"/>
      <c r="J243" s="444"/>
      <c r="K243" s="444"/>
      <c r="L243" s="444"/>
      <c r="M243" s="444"/>
      <c r="N243" s="444"/>
      <c r="O243" s="444"/>
      <c r="P243" s="444"/>
      <c r="Q243" s="444"/>
    </row>
    <row r="244" spans="6:17" ht="25.15" customHeight="1">
      <c r="F244" s="453"/>
      <c r="G244" s="444"/>
      <c r="H244" s="444"/>
      <c r="I244" s="444"/>
      <c r="J244" s="444"/>
      <c r="K244" s="444"/>
      <c r="L244" s="444"/>
      <c r="M244" s="444"/>
      <c r="N244" s="444"/>
      <c r="O244" s="444"/>
      <c r="P244" s="444"/>
      <c r="Q244" s="444"/>
    </row>
    <row r="245" spans="6:17" ht="25.15" customHeight="1">
      <c r="F245" s="453"/>
      <c r="G245" s="444"/>
      <c r="H245" s="444"/>
      <c r="I245" s="444"/>
      <c r="J245" s="444"/>
      <c r="K245" s="444"/>
      <c r="L245" s="444"/>
      <c r="M245" s="444"/>
      <c r="N245" s="444"/>
      <c r="O245" s="444"/>
      <c r="P245" s="444"/>
      <c r="Q245" s="444"/>
    </row>
    <row r="246" spans="6:17" ht="25.15" customHeight="1">
      <c r="F246" s="453"/>
      <c r="G246" s="444"/>
      <c r="H246" s="444"/>
      <c r="I246" s="444"/>
      <c r="J246" s="444"/>
      <c r="K246" s="444"/>
      <c r="L246" s="444"/>
      <c r="M246" s="444"/>
      <c r="N246" s="444"/>
      <c r="O246" s="444"/>
      <c r="P246" s="444"/>
      <c r="Q246" s="444"/>
    </row>
    <row r="247" spans="6:17" ht="25.15" customHeight="1">
      <c r="F247" s="453"/>
      <c r="G247" s="444"/>
      <c r="H247" s="444"/>
      <c r="I247" s="444"/>
      <c r="J247" s="444"/>
      <c r="K247" s="444"/>
      <c r="L247" s="444"/>
      <c r="M247" s="444"/>
      <c r="N247" s="444"/>
      <c r="O247" s="444"/>
      <c r="P247" s="444"/>
      <c r="Q247" s="444"/>
    </row>
    <row r="248" spans="6:17" ht="25.15" customHeight="1">
      <c r="F248" s="453"/>
      <c r="G248" s="444"/>
      <c r="H248" s="444"/>
      <c r="I248" s="444"/>
      <c r="J248" s="444"/>
      <c r="K248" s="444"/>
      <c r="L248" s="444"/>
      <c r="M248" s="444"/>
      <c r="N248" s="444"/>
      <c r="O248" s="444"/>
      <c r="P248" s="444"/>
      <c r="Q248" s="444"/>
    </row>
    <row r="249" spans="6:17" ht="25.15" customHeight="1">
      <c r="F249" s="453"/>
      <c r="G249" s="444"/>
      <c r="H249" s="444"/>
      <c r="I249" s="444"/>
      <c r="J249" s="444"/>
      <c r="K249" s="444"/>
      <c r="L249" s="444"/>
      <c r="M249" s="444"/>
      <c r="N249" s="444"/>
      <c r="O249" s="444"/>
      <c r="P249" s="444"/>
      <c r="Q249" s="444"/>
    </row>
    <row r="250" spans="6:17" ht="25.15" customHeight="1">
      <c r="F250" s="453"/>
      <c r="G250" s="444"/>
      <c r="H250" s="444"/>
      <c r="I250" s="444"/>
      <c r="J250" s="444"/>
      <c r="K250" s="444"/>
      <c r="L250" s="444"/>
      <c r="M250" s="444"/>
      <c r="N250" s="444"/>
      <c r="O250" s="444"/>
      <c r="P250" s="444"/>
      <c r="Q250" s="444"/>
    </row>
    <row r="251" spans="6:17" ht="25.15" customHeight="1">
      <c r="F251" s="453"/>
      <c r="G251" s="444"/>
      <c r="H251" s="444"/>
      <c r="I251" s="444"/>
      <c r="J251" s="444"/>
      <c r="K251" s="444"/>
      <c r="L251" s="444"/>
      <c r="M251" s="444"/>
      <c r="N251" s="444"/>
      <c r="O251" s="444"/>
      <c r="P251" s="444"/>
      <c r="Q251" s="444"/>
    </row>
    <row r="252" spans="6:17" ht="25.15" customHeight="1">
      <c r="F252" s="453"/>
      <c r="G252" s="444"/>
      <c r="H252" s="444"/>
      <c r="I252" s="444"/>
      <c r="J252" s="444"/>
      <c r="K252" s="444"/>
      <c r="L252" s="444"/>
      <c r="M252" s="444"/>
      <c r="N252" s="444"/>
      <c r="O252" s="444"/>
      <c r="P252" s="444"/>
      <c r="Q252" s="444"/>
    </row>
    <row r="253" spans="6:17" ht="25.15" customHeight="1">
      <c r="F253" s="453"/>
      <c r="G253" s="444"/>
      <c r="H253" s="444"/>
      <c r="I253" s="444"/>
      <c r="J253" s="444"/>
      <c r="K253" s="444"/>
      <c r="L253" s="444"/>
      <c r="M253" s="444"/>
      <c r="N253" s="444"/>
      <c r="O253" s="444"/>
      <c r="P253" s="444"/>
      <c r="Q253" s="444"/>
    </row>
    <row r="254" spans="6:17" ht="25.15" customHeight="1">
      <c r="F254" s="453"/>
      <c r="G254" s="444"/>
      <c r="H254" s="444"/>
      <c r="I254" s="444"/>
      <c r="J254" s="444"/>
      <c r="K254" s="444"/>
      <c r="L254" s="444"/>
      <c r="M254" s="444"/>
      <c r="N254" s="444"/>
      <c r="O254" s="444"/>
      <c r="P254" s="444"/>
      <c r="Q254" s="444"/>
    </row>
    <row r="255" spans="6:17" ht="25.15" customHeight="1">
      <c r="F255" s="453"/>
      <c r="G255" s="444"/>
      <c r="H255" s="444"/>
      <c r="I255" s="444"/>
      <c r="J255" s="444"/>
      <c r="K255" s="444"/>
      <c r="L255" s="444"/>
      <c r="M255" s="444"/>
      <c r="N255" s="444"/>
      <c r="O255" s="444"/>
      <c r="P255" s="444"/>
      <c r="Q255" s="444"/>
    </row>
    <row r="256" spans="6:17" ht="25.15" customHeight="1">
      <c r="F256" s="453"/>
      <c r="G256" s="444"/>
      <c r="H256" s="444"/>
      <c r="I256" s="444"/>
      <c r="J256" s="444"/>
      <c r="K256" s="444"/>
      <c r="L256" s="444"/>
      <c r="M256" s="444"/>
      <c r="N256" s="444"/>
      <c r="O256" s="444"/>
      <c r="P256" s="444"/>
      <c r="Q256" s="444"/>
    </row>
    <row r="257" spans="6:17" ht="25.15" customHeight="1">
      <c r="F257" s="453"/>
      <c r="G257" s="444"/>
      <c r="H257" s="444"/>
      <c r="I257" s="444"/>
      <c r="J257" s="444"/>
      <c r="K257" s="444"/>
      <c r="L257" s="444"/>
      <c r="M257" s="444"/>
      <c r="N257" s="444"/>
      <c r="O257" s="444"/>
      <c r="P257" s="444"/>
      <c r="Q257" s="444"/>
    </row>
    <row r="258" spans="6:17" ht="25.15" customHeight="1">
      <c r="F258" s="453"/>
      <c r="G258" s="444"/>
      <c r="H258" s="444"/>
      <c r="I258" s="444"/>
      <c r="J258" s="444"/>
      <c r="K258" s="444"/>
      <c r="L258" s="444"/>
      <c r="M258" s="444"/>
      <c r="N258" s="444"/>
      <c r="O258" s="444"/>
      <c r="P258" s="444"/>
      <c r="Q258" s="444"/>
    </row>
    <row r="259" spans="6:17" ht="25.15" customHeight="1">
      <c r="F259" s="453"/>
      <c r="G259" s="444"/>
      <c r="H259" s="444"/>
      <c r="I259" s="444"/>
      <c r="J259" s="444"/>
      <c r="K259" s="444"/>
      <c r="L259" s="444"/>
      <c r="M259" s="444"/>
      <c r="N259" s="444"/>
      <c r="O259" s="444"/>
      <c r="P259" s="444"/>
      <c r="Q259" s="444"/>
    </row>
    <row r="260" spans="6:17" ht="25.15" customHeight="1">
      <c r="F260" s="453"/>
      <c r="G260" s="444"/>
      <c r="H260" s="444"/>
      <c r="I260" s="444"/>
      <c r="J260" s="444"/>
      <c r="K260" s="444"/>
      <c r="L260" s="444"/>
      <c r="M260" s="444"/>
      <c r="N260" s="444"/>
      <c r="O260" s="444"/>
      <c r="P260" s="444"/>
      <c r="Q260" s="444"/>
    </row>
    <row r="261" spans="6:17" ht="25.15" customHeight="1">
      <c r="F261" s="453"/>
      <c r="G261" s="444"/>
      <c r="H261" s="444"/>
      <c r="I261" s="444"/>
      <c r="J261" s="444"/>
      <c r="K261" s="444"/>
      <c r="L261" s="444"/>
      <c r="M261" s="444"/>
      <c r="N261" s="444"/>
      <c r="O261" s="444"/>
      <c r="P261" s="444"/>
      <c r="Q261" s="444"/>
    </row>
    <row r="262" spans="6:17" ht="25.15" customHeight="1">
      <c r="F262" s="453"/>
      <c r="G262" s="444"/>
      <c r="H262" s="444"/>
      <c r="I262" s="444"/>
      <c r="J262" s="444"/>
      <c r="K262" s="444"/>
      <c r="L262" s="444"/>
      <c r="M262" s="444"/>
      <c r="N262" s="444"/>
      <c r="O262" s="444"/>
      <c r="P262" s="444"/>
      <c r="Q262" s="444"/>
    </row>
    <row r="263" spans="6:17" ht="25.15" customHeight="1">
      <c r="F263" s="453"/>
      <c r="G263" s="444"/>
      <c r="H263" s="444"/>
      <c r="I263" s="444"/>
      <c r="J263" s="444"/>
      <c r="K263" s="444"/>
      <c r="L263" s="444"/>
      <c r="M263" s="444"/>
      <c r="N263" s="444"/>
      <c r="O263" s="444"/>
      <c r="P263" s="444"/>
      <c r="Q263" s="444"/>
    </row>
    <row r="264" spans="6:17" ht="25.15" customHeight="1">
      <c r="F264" s="453"/>
      <c r="G264" s="444"/>
      <c r="H264" s="444"/>
      <c r="I264" s="444"/>
      <c r="J264" s="444"/>
      <c r="K264" s="444"/>
      <c r="L264" s="444"/>
      <c r="M264" s="444"/>
      <c r="N264" s="444"/>
      <c r="O264" s="444"/>
      <c r="P264" s="444"/>
      <c r="Q264" s="444"/>
    </row>
    <row r="265" spans="6:17" ht="25.15" customHeight="1">
      <c r="F265" s="453"/>
      <c r="G265" s="444"/>
      <c r="H265" s="444"/>
      <c r="I265" s="444"/>
      <c r="J265" s="444"/>
      <c r="K265" s="444"/>
      <c r="L265" s="444"/>
      <c r="M265" s="444"/>
      <c r="N265" s="444"/>
      <c r="O265" s="444"/>
      <c r="P265" s="444"/>
      <c r="Q265" s="444"/>
    </row>
    <row r="266" spans="6:17" ht="25.15" customHeight="1">
      <c r="F266" s="453"/>
      <c r="G266" s="444"/>
      <c r="H266" s="444"/>
      <c r="I266" s="444"/>
      <c r="J266" s="444"/>
      <c r="K266" s="444"/>
      <c r="L266" s="444"/>
      <c r="M266" s="444"/>
      <c r="N266" s="444"/>
      <c r="O266" s="444"/>
      <c r="P266" s="444"/>
      <c r="Q266" s="444"/>
    </row>
    <row r="267" spans="6:17" ht="25.15" customHeight="1">
      <c r="F267" s="453"/>
      <c r="G267" s="444"/>
      <c r="H267" s="444"/>
      <c r="I267" s="444"/>
      <c r="J267" s="444"/>
      <c r="K267" s="444"/>
      <c r="L267" s="444"/>
      <c r="M267" s="444"/>
      <c r="N267" s="444"/>
      <c r="O267" s="444"/>
      <c r="P267" s="444"/>
      <c r="Q267" s="444"/>
    </row>
    <row r="268" spans="6:17" ht="25.15" customHeight="1">
      <c r="F268" s="453"/>
      <c r="G268" s="444"/>
      <c r="H268" s="444"/>
      <c r="I268" s="444"/>
      <c r="J268" s="444"/>
      <c r="K268" s="444"/>
      <c r="L268" s="444"/>
      <c r="M268" s="444"/>
      <c r="N268" s="444"/>
      <c r="O268" s="444"/>
      <c r="P268" s="444"/>
      <c r="Q268" s="444"/>
    </row>
    <row r="269" spans="6:17" ht="25.15" customHeight="1">
      <c r="F269" s="453"/>
      <c r="G269" s="444"/>
      <c r="H269" s="444"/>
      <c r="I269" s="444"/>
      <c r="J269" s="444"/>
      <c r="K269" s="444"/>
      <c r="L269" s="444"/>
      <c r="M269" s="444"/>
      <c r="N269" s="444"/>
      <c r="O269" s="444"/>
      <c r="P269" s="444"/>
      <c r="Q269" s="444"/>
    </row>
    <row r="270" spans="6:17" ht="25.15" customHeight="1">
      <c r="F270" s="453"/>
      <c r="G270" s="444"/>
      <c r="H270" s="444"/>
      <c r="I270" s="444"/>
      <c r="J270" s="444"/>
      <c r="K270" s="444"/>
      <c r="L270" s="444"/>
      <c r="M270" s="444"/>
      <c r="N270" s="444"/>
      <c r="O270" s="444"/>
      <c r="P270" s="444"/>
      <c r="Q270" s="444"/>
    </row>
    <row r="271" spans="6:17" ht="25.15" customHeight="1">
      <c r="F271" s="453"/>
      <c r="G271" s="444"/>
      <c r="H271" s="444"/>
      <c r="I271" s="444"/>
      <c r="J271" s="444"/>
      <c r="K271" s="444"/>
      <c r="L271" s="444"/>
      <c r="M271" s="444"/>
      <c r="N271" s="444"/>
      <c r="O271" s="444"/>
      <c r="P271" s="444"/>
      <c r="Q271" s="444"/>
    </row>
    <row r="272" spans="6:17" ht="25.15" customHeight="1">
      <c r="F272" s="453"/>
      <c r="G272" s="444"/>
      <c r="H272" s="444"/>
      <c r="I272" s="444"/>
      <c r="J272" s="444"/>
      <c r="K272" s="444"/>
      <c r="L272" s="444"/>
      <c r="M272" s="444"/>
      <c r="N272" s="444"/>
      <c r="O272" s="444"/>
      <c r="P272" s="444"/>
      <c r="Q272" s="444"/>
    </row>
    <row r="273" spans="6:17" ht="25.15" customHeight="1">
      <c r="F273" s="453"/>
      <c r="G273" s="444"/>
      <c r="H273" s="444"/>
      <c r="I273" s="444"/>
      <c r="J273" s="444"/>
      <c r="K273" s="444"/>
      <c r="L273" s="444"/>
      <c r="M273" s="444"/>
      <c r="N273" s="444"/>
      <c r="O273" s="444"/>
      <c r="P273" s="444"/>
      <c r="Q273" s="444"/>
    </row>
    <row r="274" spans="6:17" ht="25.15" customHeight="1">
      <c r="F274" s="453"/>
      <c r="G274" s="444"/>
      <c r="H274" s="444"/>
      <c r="I274" s="444"/>
      <c r="J274" s="444"/>
      <c r="K274" s="444"/>
      <c r="L274" s="444"/>
      <c r="M274" s="444"/>
      <c r="N274" s="444"/>
      <c r="O274" s="444"/>
      <c r="P274" s="444"/>
      <c r="Q274" s="444"/>
    </row>
    <row r="275" spans="6:17" ht="25.15" customHeight="1">
      <c r="F275" s="453"/>
      <c r="G275" s="444"/>
      <c r="H275" s="444"/>
      <c r="I275" s="444"/>
      <c r="J275" s="444"/>
      <c r="K275" s="444"/>
      <c r="L275" s="444"/>
      <c r="M275" s="444"/>
      <c r="N275" s="444"/>
      <c r="O275" s="444"/>
      <c r="P275" s="444"/>
      <c r="Q275" s="444"/>
    </row>
    <row r="276" spans="6:17" ht="25.15" customHeight="1">
      <c r="F276" s="453"/>
      <c r="G276" s="444"/>
      <c r="H276" s="444"/>
      <c r="I276" s="444"/>
      <c r="J276" s="444"/>
      <c r="K276" s="444"/>
      <c r="L276" s="444"/>
      <c r="M276" s="444"/>
      <c r="N276" s="444"/>
      <c r="O276" s="444"/>
      <c r="P276" s="444"/>
      <c r="Q276" s="444"/>
    </row>
    <row r="277" spans="6:17" ht="25.15" customHeight="1">
      <c r="F277" s="453"/>
      <c r="G277" s="444"/>
      <c r="H277" s="444"/>
      <c r="I277" s="444"/>
      <c r="J277" s="444"/>
      <c r="K277" s="444"/>
      <c r="L277" s="444"/>
      <c r="M277" s="444"/>
      <c r="N277" s="444"/>
      <c r="O277" s="444"/>
      <c r="P277" s="444"/>
      <c r="Q277" s="444"/>
    </row>
    <row r="278" spans="6:17" ht="25.15" customHeight="1">
      <c r="F278" s="453"/>
      <c r="G278" s="444"/>
      <c r="H278" s="444"/>
      <c r="I278" s="444"/>
      <c r="J278" s="444"/>
      <c r="K278" s="444"/>
      <c r="L278" s="444"/>
      <c r="M278" s="444"/>
      <c r="N278" s="444"/>
      <c r="O278" s="444"/>
      <c r="P278" s="444"/>
      <c r="Q278" s="444"/>
    </row>
    <row r="279" spans="6:17" ht="25.15" customHeight="1">
      <c r="F279" s="453"/>
      <c r="G279" s="444"/>
      <c r="H279" s="444"/>
      <c r="I279" s="444"/>
      <c r="J279" s="444"/>
      <c r="K279" s="444"/>
      <c r="L279" s="444"/>
      <c r="M279" s="444"/>
      <c r="N279" s="444"/>
      <c r="O279" s="444"/>
      <c r="P279" s="444"/>
      <c r="Q279" s="444"/>
    </row>
    <row r="280" spans="6:17" ht="25.15" customHeight="1">
      <c r="F280" s="453"/>
      <c r="G280" s="444"/>
      <c r="H280" s="444"/>
      <c r="I280" s="444"/>
      <c r="J280" s="444"/>
      <c r="K280" s="444"/>
      <c r="L280" s="444"/>
      <c r="M280" s="444"/>
      <c r="N280" s="444"/>
      <c r="O280" s="444"/>
      <c r="P280" s="444"/>
      <c r="Q280" s="444"/>
    </row>
    <row r="281" spans="6:17" ht="25.15" customHeight="1">
      <c r="F281" s="453"/>
      <c r="G281" s="444"/>
      <c r="H281" s="444"/>
      <c r="I281" s="444"/>
      <c r="J281" s="444"/>
      <c r="K281" s="444"/>
      <c r="L281" s="444"/>
      <c r="M281" s="444"/>
      <c r="N281" s="444"/>
      <c r="O281" s="444"/>
      <c r="P281" s="444"/>
      <c r="Q281" s="444"/>
    </row>
    <row r="282" spans="6:17" ht="25.15" customHeight="1">
      <c r="F282" s="453"/>
      <c r="G282" s="444"/>
      <c r="H282" s="444"/>
      <c r="I282" s="444"/>
      <c r="J282" s="444"/>
      <c r="K282" s="444"/>
      <c r="L282" s="444"/>
      <c r="M282" s="444"/>
      <c r="N282" s="444"/>
      <c r="O282" s="444"/>
      <c r="P282" s="444"/>
      <c r="Q282" s="444"/>
    </row>
    <row r="283" spans="6:17" ht="25.15" customHeight="1">
      <c r="F283" s="453"/>
      <c r="G283" s="444"/>
      <c r="H283" s="444"/>
      <c r="I283" s="444"/>
      <c r="J283" s="444"/>
      <c r="K283" s="444"/>
      <c r="L283" s="444"/>
      <c r="M283" s="444"/>
      <c r="N283" s="444"/>
      <c r="O283" s="444"/>
      <c r="P283" s="444"/>
      <c r="Q283" s="444"/>
    </row>
    <row r="284" spans="6:17" ht="25.15" customHeight="1">
      <c r="F284" s="453"/>
      <c r="G284" s="444"/>
      <c r="H284" s="444"/>
      <c r="I284" s="444"/>
      <c r="J284" s="444"/>
      <c r="K284" s="444"/>
      <c r="L284" s="444"/>
      <c r="M284" s="444"/>
      <c r="N284" s="444"/>
      <c r="O284" s="444"/>
      <c r="P284" s="444"/>
      <c r="Q284" s="444"/>
    </row>
    <row r="285" spans="6:17" ht="25.15" customHeight="1">
      <c r="F285" s="453"/>
      <c r="G285" s="444"/>
      <c r="H285" s="444"/>
      <c r="I285" s="444"/>
      <c r="J285" s="444"/>
      <c r="K285" s="444"/>
      <c r="L285" s="444"/>
      <c r="M285" s="444"/>
      <c r="N285" s="444"/>
      <c r="O285" s="444"/>
      <c r="P285" s="444"/>
      <c r="Q285" s="444"/>
    </row>
    <row r="286" spans="6:17" ht="25.15" customHeight="1">
      <c r="F286" s="453"/>
      <c r="G286" s="444"/>
      <c r="H286" s="444"/>
      <c r="I286" s="444"/>
      <c r="J286" s="444"/>
      <c r="K286" s="444"/>
      <c r="L286" s="444"/>
      <c r="M286" s="444"/>
      <c r="N286" s="444"/>
      <c r="O286" s="444"/>
      <c r="P286" s="444"/>
      <c r="Q286" s="444"/>
    </row>
    <row r="287" spans="6:17" ht="25.15" customHeight="1">
      <c r="F287" s="453"/>
      <c r="G287" s="444"/>
      <c r="H287" s="444"/>
      <c r="I287" s="444"/>
      <c r="J287" s="444"/>
      <c r="K287" s="444"/>
      <c r="L287" s="444"/>
      <c r="M287" s="444"/>
      <c r="N287" s="444"/>
      <c r="O287" s="444"/>
      <c r="P287" s="444"/>
      <c r="Q287" s="444"/>
    </row>
    <row r="288" spans="6:17" ht="25.15" customHeight="1">
      <c r="F288" s="453"/>
      <c r="G288" s="444"/>
      <c r="H288" s="444"/>
      <c r="I288" s="444"/>
      <c r="J288" s="444"/>
      <c r="K288" s="444"/>
      <c r="L288" s="444"/>
      <c r="M288" s="444"/>
      <c r="N288" s="444"/>
      <c r="O288" s="444"/>
      <c r="P288" s="444"/>
      <c r="Q288" s="444"/>
    </row>
    <row r="289" spans="6:17" ht="25.15" customHeight="1">
      <c r="F289" s="453"/>
      <c r="G289" s="444"/>
      <c r="H289" s="444"/>
      <c r="I289" s="444"/>
      <c r="J289" s="444"/>
      <c r="K289" s="444"/>
      <c r="L289" s="444"/>
      <c r="M289" s="444"/>
      <c r="N289" s="444"/>
      <c r="O289" s="444"/>
      <c r="P289" s="444"/>
      <c r="Q289" s="444"/>
    </row>
    <row r="290" spans="6:17" ht="25.15" customHeight="1">
      <c r="F290" s="453"/>
      <c r="G290" s="444"/>
      <c r="H290" s="444"/>
      <c r="I290" s="444"/>
      <c r="J290" s="444"/>
      <c r="K290" s="444"/>
      <c r="L290" s="444"/>
      <c r="M290" s="444"/>
      <c r="N290" s="444"/>
      <c r="O290" s="444"/>
      <c r="P290" s="444"/>
      <c r="Q290" s="444"/>
    </row>
    <row r="291" spans="6:17" ht="25.15" customHeight="1">
      <c r="F291" s="453"/>
      <c r="G291" s="444"/>
      <c r="H291" s="444"/>
      <c r="I291" s="444"/>
      <c r="J291" s="444"/>
      <c r="K291" s="444"/>
      <c r="L291" s="444"/>
      <c r="M291" s="444"/>
      <c r="N291" s="444"/>
      <c r="O291" s="444"/>
      <c r="P291" s="444"/>
      <c r="Q291" s="444"/>
    </row>
    <row r="292" spans="6:17" ht="25.15" customHeight="1">
      <c r="F292" s="453"/>
      <c r="G292" s="444"/>
      <c r="H292" s="444"/>
      <c r="I292" s="444"/>
      <c r="J292" s="444"/>
      <c r="K292" s="444"/>
      <c r="L292" s="444"/>
      <c r="M292" s="444"/>
      <c r="N292" s="444"/>
      <c r="O292" s="444"/>
      <c r="P292" s="444"/>
      <c r="Q292" s="444"/>
    </row>
    <row r="293" spans="6:17" ht="25.15" customHeight="1">
      <c r="F293" s="453"/>
      <c r="G293" s="444"/>
      <c r="H293" s="444"/>
      <c r="I293" s="444"/>
      <c r="J293" s="444"/>
      <c r="K293" s="444"/>
      <c r="L293" s="444"/>
      <c r="M293" s="444"/>
      <c r="N293" s="444"/>
      <c r="O293" s="444"/>
      <c r="P293" s="444"/>
      <c r="Q293" s="444"/>
    </row>
    <row r="294" spans="6:17" ht="25.15" customHeight="1">
      <c r="F294" s="453"/>
      <c r="G294" s="444"/>
      <c r="H294" s="444"/>
      <c r="I294" s="444"/>
      <c r="J294" s="444"/>
      <c r="K294" s="444"/>
      <c r="L294" s="444"/>
      <c r="M294" s="444"/>
      <c r="N294" s="444"/>
      <c r="O294" s="444"/>
      <c r="P294" s="444"/>
      <c r="Q294" s="444"/>
    </row>
    <row r="295" spans="6:17" ht="25.15" customHeight="1">
      <c r="F295" s="453"/>
      <c r="G295" s="444"/>
      <c r="H295" s="444"/>
      <c r="I295" s="444"/>
      <c r="J295" s="444"/>
      <c r="K295" s="444"/>
      <c r="L295" s="444"/>
      <c r="M295" s="444"/>
      <c r="N295" s="444"/>
      <c r="O295" s="444"/>
      <c r="P295" s="444"/>
      <c r="Q295" s="444"/>
    </row>
    <row r="296" spans="6:17" ht="25.15" customHeight="1">
      <c r="F296" s="453"/>
      <c r="G296" s="444"/>
      <c r="H296" s="444"/>
      <c r="I296" s="444"/>
      <c r="J296" s="444"/>
      <c r="K296" s="444"/>
      <c r="L296" s="444"/>
      <c r="M296" s="444"/>
      <c r="N296" s="444"/>
      <c r="O296" s="444"/>
      <c r="P296" s="444"/>
      <c r="Q296" s="444"/>
    </row>
    <row r="297" spans="6:17" ht="25.15" customHeight="1">
      <c r="F297" s="453"/>
      <c r="G297" s="444"/>
      <c r="H297" s="444"/>
      <c r="I297" s="444"/>
      <c r="J297" s="444"/>
      <c r="K297" s="444"/>
      <c r="L297" s="444"/>
      <c r="M297" s="444"/>
      <c r="N297" s="444"/>
      <c r="O297" s="444"/>
      <c r="P297" s="444"/>
      <c r="Q297" s="444"/>
    </row>
    <row r="298" spans="6:17" ht="25.15" customHeight="1">
      <c r="F298" s="453"/>
      <c r="G298" s="444"/>
      <c r="H298" s="444"/>
      <c r="I298" s="444"/>
      <c r="J298" s="444"/>
      <c r="K298" s="444"/>
      <c r="L298" s="444"/>
      <c r="M298" s="444"/>
      <c r="N298" s="444"/>
      <c r="O298" s="444"/>
      <c r="P298" s="444"/>
      <c r="Q298" s="444"/>
    </row>
    <row r="299" spans="6:17" ht="25.15" customHeight="1">
      <c r="F299" s="453"/>
      <c r="G299" s="444"/>
      <c r="H299" s="444"/>
      <c r="I299" s="444"/>
      <c r="J299" s="444"/>
      <c r="K299" s="444"/>
      <c r="L299" s="444"/>
      <c r="M299" s="444"/>
      <c r="N299" s="444"/>
      <c r="O299" s="444"/>
      <c r="P299" s="444"/>
      <c r="Q299" s="444"/>
    </row>
    <row r="300" spans="6:17" ht="25.15" customHeight="1">
      <c r="F300" s="453"/>
      <c r="G300" s="444"/>
      <c r="H300" s="444"/>
      <c r="I300" s="444"/>
      <c r="J300" s="444"/>
      <c r="K300" s="444"/>
      <c r="L300" s="444"/>
      <c r="M300" s="444"/>
      <c r="N300" s="444"/>
      <c r="O300" s="444"/>
      <c r="P300" s="444"/>
      <c r="Q300" s="444"/>
    </row>
    <row r="301" spans="6:17" ht="25.15" customHeight="1">
      <c r="F301" s="453"/>
      <c r="G301" s="444"/>
      <c r="H301" s="444"/>
      <c r="I301" s="444"/>
      <c r="J301" s="444"/>
      <c r="K301" s="444"/>
      <c r="L301" s="444"/>
      <c r="M301" s="444"/>
      <c r="N301" s="444"/>
      <c r="O301" s="444"/>
      <c r="P301" s="444"/>
      <c r="Q301" s="444"/>
    </row>
    <row r="302" spans="6:17" ht="25.15" customHeight="1">
      <c r="F302" s="453"/>
      <c r="G302" s="444"/>
      <c r="H302" s="444"/>
      <c r="I302" s="444"/>
      <c r="J302" s="444"/>
      <c r="K302" s="444"/>
      <c r="L302" s="444"/>
      <c r="M302" s="444"/>
      <c r="N302" s="444"/>
      <c r="O302" s="444"/>
      <c r="P302" s="444"/>
      <c r="Q302" s="444"/>
    </row>
    <row r="303" spans="6:17" ht="25.15" customHeight="1">
      <c r="F303" s="453"/>
      <c r="G303" s="444"/>
      <c r="H303" s="444"/>
      <c r="I303" s="444"/>
      <c r="J303" s="444"/>
      <c r="K303" s="444"/>
      <c r="L303" s="444"/>
      <c r="M303" s="444"/>
      <c r="N303" s="444"/>
      <c r="O303" s="444"/>
      <c r="P303" s="444"/>
      <c r="Q303" s="444"/>
    </row>
    <row r="304" spans="6:17" ht="25.15" customHeight="1">
      <c r="F304" s="453"/>
      <c r="G304" s="444"/>
      <c r="H304" s="444"/>
      <c r="I304" s="444"/>
      <c r="J304" s="444"/>
      <c r="K304" s="444"/>
      <c r="L304" s="444"/>
      <c r="M304" s="444"/>
      <c r="N304" s="444"/>
      <c r="O304" s="444"/>
      <c r="P304" s="444"/>
      <c r="Q304" s="444"/>
    </row>
    <row r="305" spans="6:17" ht="25.15" customHeight="1">
      <c r="F305" s="453"/>
      <c r="G305" s="444"/>
      <c r="H305" s="444"/>
      <c r="I305" s="444"/>
      <c r="J305" s="444"/>
      <c r="K305" s="444"/>
      <c r="L305" s="444"/>
      <c r="M305" s="444"/>
      <c r="N305" s="444"/>
      <c r="O305" s="444"/>
      <c r="P305" s="444"/>
      <c r="Q305" s="444"/>
    </row>
    <row r="306" spans="6:17" ht="25.15" customHeight="1">
      <c r="F306" s="453"/>
      <c r="G306" s="444"/>
      <c r="H306" s="444"/>
      <c r="I306" s="444"/>
      <c r="J306" s="444"/>
      <c r="K306" s="444"/>
      <c r="L306" s="444"/>
      <c r="M306" s="444"/>
      <c r="N306" s="444"/>
      <c r="O306" s="444"/>
      <c r="P306" s="444"/>
      <c r="Q306" s="444"/>
    </row>
    <row r="307" spans="6:17" ht="25.15" customHeight="1">
      <c r="F307" s="453"/>
      <c r="G307" s="444"/>
      <c r="H307" s="444"/>
      <c r="I307" s="444"/>
      <c r="J307" s="444"/>
      <c r="K307" s="444"/>
      <c r="L307" s="444"/>
      <c r="M307" s="444"/>
      <c r="N307" s="444"/>
      <c r="O307" s="444"/>
      <c r="P307" s="444"/>
      <c r="Q307" s="444"/>
    </row>
    <row r="308" spans="6:17" ht="25.15" customHeight="1">
      <c r="F308" s="453"/>
      <c r="G308" s="444"/>
      <c r="H308" s="444"/>
      <c r="I308" s="444"/>
      <c r="J308" s="444"/>
      <c r="K308" s="444"/>
      <c r="L308" s="444"/>
      <c r="M308" s="444"/>
      <c r="N308" s="444"/>
      <c r="O308" s="444"/>
      <c r="P308" s="444"/>
      <c r="Q308" s="444"/>
    </row>
    <row r="309" spans="6:17" ht="25.15" customHeight="1">
      <c r="F309" s="453"/>
      <c r="G309" s="444"/>
      <c r="H309" s="444"/>
      <c r="I309" s="444"/>
      <c r="J309" s="444"/>
      <c r="K309" s="444"/>
      <c r="L309" s="444"/>
      <c r="M309" s="444"/>
      <c r="N309" s="444"/>
      <c r="O309" s="444"/>
      <c r="P309" s="444"/>
      <c r="Q309" s="444"/>
    </row>
    <row r="310" spans="6:17" ht="25.15" customHeight="1">
      <c r="F310" s="453"/>
      <c r="G310" s="444"/>
      <c r="H310" s="444"/>
      <c r="I310" s="444"/>
      <c r="J310" s="444"/>
      <c r="K310" s="444"/>
      <c r="L310" s="444"/>
      <c r="M310" s="444"/>
      <c r="N310" s="444"/>
      <c r="O310" s="444"/>
      <c r="P310" s="444"/>
      <c r="Q310" s="444"/>
    </row>
    <row r="311" spans="6:17" ht="25.15" customHeight="1">
      <c r="F311" s="453"/>
      <c r="G311" s="444"/>
      <c r="H311" s="444"/>
      <c r="I311" s="444"/>
      <c r="J311" s="444"/>
      <c r="K311" s="444"/>
      <c r="L311" s="444"/>
      <c r="M311" s="444"/>
      <c r="N311" s="444"/>
      <c r="O311" s="444"/>
      <c r="P311" s="444"/>
      <c r="Q311" s="444"/>
    </row>
    <row r="312" spans="6:17" ht="25.15" customHeight="1">
      <c r="F312" s="453"/>
      <c r="G312" s="444"/>
      <c r="H312" s="444"/>
      <c r="I312" s="444"/>
      <c r="J312" s="444"/>
      <c r="K312" s="444"/>
      <c r="L312" s="444"/>
      <c r="M312" s="444"/>
      <c r="N312" s="444"/>
      <c r="O312" s="444"/>
      <c r="P312" s="444"/>
      <c r="Q312" s="444"/>
    </row>
    <row r="313" spans="6:17" ht="25.15" customHeight="1">
      <c r="F313" s="453"/>
      <c r="G313" s="444"/>
      <c r="H313" s="444"/>
      <c r="I313" s="444"/>
      <c r="J313" s="444"/>
      <c r="K313" s="444"/>
      <c r="L313" s="444"/>
      <c r="M313" s="444"/>
      <c r="N313" s="444"/>
      <c r="O313" s="444"/>
      <c r="P313" s="444"/>
      <c r="Q313" s="444"/>
    </row>
    <row r="314" spans="6:17" ht="25.15" customHeight="1">
      <c r="F314" s="453"/>
      <c r="G314" s="444"/>
      <c r="H314" s="444"/>
      <c r="I314" s="444"/>
      <c r="J314" s="444"/>
      <c r="K314" s="444"/>
      <c r="L314" s="444"/>
      <c r="M314" s="444"/>
      <c r="N314" s="444"/>
      <c r="O314" s="444"/>
      <c r="P314" s="444"/>
      <c r="Q314" s="444"/>
    </row>
    <row r="315" spans="6:17" ht="25.15" customHeight="1">
      <c r="F315" s="453"/>
      <c r="G315" s="444"/>
      <c r="H315" s="444"/>
      <c r="I315" s="444"/>
      <c r="J315" s="444"/>
      <c r="K315" s="444"/>
      <c r="L315" s="444"/>
      <c r="M315" s="444"/>
      <c r="N315" s="444"/>
      <c r="O315" s="444"/>
      <c r="P315" s="444"/>
      <c r="Q315" s="444"/>
    </row>
    <row r="316" spans="6:17" ht="25.15" customHeight="1">
      <c r="F316" s="453"/>
      <c r="G316" s="444"/>
      <c r="H316" s="444"/>
      <c r="I316" s="444"/>
      <c r="J316" s="444"/>
      <c r="K316" s="444"/>
      <c r="L316" s="444"/>
      <c r="M316" s="444"/>
      <c r="N316" s="444"/>
      <c r="O316" s="444"/>
      <c r="P316" s="444"/>
      <c r="Q316" s="444"/>
    </row>
    <row r="317" spans="6:17" ht="25.15" customHeight="1">
      <c r="F317" s="453"/>
      <c r="G317" s="444"/>
      <c r="H317" s="444"/>
      <c r="I317" s="444"/>
      <c r="J317" s="444"/>
      <c r="K317" s="444"/>
      <c r="L317" s="444"/>
      <c r="M317" s="444"/>
      <c r="N317" s="444"/>
      <c r="O317" s="444"/>
      <c r="P317" s="444"/>
      <c r="Q317" s="444"/>
    </row>
    <row r="318" spans="6:17" ht="25.15" customHeight="1">
      <c r="F318" s="453"/>
      <c r="G318" s="444"/>
      <c r="H318" s="444"/>
      <c r="I318" s="444"/>
      <c r="J318" s="444"/>
      <c r="K318" s="444"/>
      <c r="L318" s="444"/>
      <c r="M318" s="444"/>
      <c r="N318" s="444"/>
      <c r="O318" s="444"/>
      <c r="P318" s="444"/>
      <c r="Q318" s="444"/>
    </row>
    <row r="319" spans="6:17" ht="25.15" customHeight="1">
      <c r="F319" s="453"/>
      <c r="G319" s="444"/>
      <c r="H319" s="444"/>
      <c r="I319" s="444"/>
      <c r="J319" s="444"/>
      <c r="K319" s="444"/>
      <c r="L319" s="444"/>
      <c r="M319" s="444"/>
      <c r="N319" s="444"/>
      <c r="O319" s="444"/>
      <c r="P319" s="444"/>
      <c r="Q319" s="444"/>
    </row>
    <row r="320" spans="6:17" ht="25.15" customHeight="1">
      <c r="F320" s="453"/>
      <c r="G320" s="444"/>
      <c r="H320" s="444"/>
      <c r="I320" s="444"/>
      <c r="J320" s="444"/>
      <c r="K320" s="444"/>
      <c r="L320" s="444"/>
      <c r="M320" s="444"/>
      <c r="N320" s="444"/>
      <c r="O320" s="444"/>
      <c r="P320" s="444"/>
      <c r="Q320" s="444"/>
    </row>
    <row r="321" spans="6:17" ht="25.15" customHeight="1">
      <c r="F321" s="453"/>
      <c r="G321" s="444"/>
      <c r="H321" s="444"/>
      <c r="I321" s="444"/>
      <c r="J321" s="444"/>
      <c r="K321" s="444"/>
      <c r="L321" s="444"/>
      <c r="M321" s="444"/>
      <c r="N321" s="444"/>
      <c r="O321" s="444"/>
      <c r="P321" s="444"/>
      <c r="Q321" s="444"/>
    </row>
    <row r="322" spans="6:17" ht="25.15" customHeight="1">
      <c r="F322" s="453"/>
      <c r="G322" s="444"/>
      <c r="H322" s="444"/>
      <c r="I322" s="444"/>
      <c r="J322" s="444"/>
      <c r="K322" s="444"/>
      <c r="L322" s="444"/>
      <c r="M322" s="444"/>
      <c r="N322" s="444"/>
      <c r="O322" s="444"/>
      <c r="P322" s="444"/>
      <c r="Q322" s="444"/>
    </row>
    <row r="323" spans="6:17" ht="25.15" customHeight="1">
      <c r="F323" s="453"/>
      <c r="G323" s="444"/>
      <c r="H323" s="444"/>
      <c r="I323" s="444"/>
      <c r="J323" s="444"/>
      <c r="K323" s="444"/>
      <c r="L323" s="444"/>
      <c r="M323" s="444"/>
      <c r="N323" s="444"/>
      <c r="O323" s="444"/>
      <c r="P323" s="444"/>
      <c r="Q323" s="444"/>
    </row>
    <row r="324" spans="6:17" ht="25.15" customHeight="1">
      <c r="F324" s="453"/>
      <c r="G324" s="444"/>
      <c r="H324" s="444"/>
      <c r="I324" s="444"/>
      <c r="J324" s="444"/>
      <c r="K324" s="444"/>
      <c r="L324" s="444"/>
      <c r="M324" s="444"/>
      <c r="N324" s="444"/>
      <c r="O324" s="444"/>
      <c r="P324" s="444"/>
      <c r="Q324" s="444"/>
    </row>
    <row r="325" spans="6:17" ht="25.15" customHeight="1">
      <c r="F325" s="453"/>
      <c r="G325" s="444"/>
      <c r="H325" s="444"/>
      <c r="I325" s="444"/>
      <c r="J325" s="444"/>
      <c r="K325" s="444"/>
      <c r="L325" s="444"/>
      <c r="M325" s="444"/>
      <c r="N325" s="444"/>
      <c r="O325" s="444"/>
      <c r="P325" s="444"/>
      <c r="Q325" s="444"/>
    </row>
    <row r="326" spans="6:17" ht="25.15" customHeight="1">
      <c r="F326" s="453"/>
      <c r="G326" s="444"/>
      <c r="H326" s="444"/>
      <c r="I326" s="444"/>
      <c r="J326" s="444"/>
      <c r="K326" s="444"/>
      <c r="L326" s="444"/>
      <c r="M326" s="444"/>
      <c r="N326" s="444"/>
      <c r="O326" s="444"/>
      <c r="P326" s="444"/>
      <c r="Q326" s="444"/>
    </row>
    <row r="327" spans="6:17" ht="25.15" customHeight="1">
      <c r="F327" s="453"/>
      <c r="G327" s="444"/>
      <c r="H327" s="444"/>
      <c r="I327" s="444"/>
      <c r="J327" s="444"/>
      <c r="K327" s="444"/>
      <c r="L327" s="444"/>
      <c r="M327" s="444"/>
      <c r="N327" s="444"/>
      <c r="O327" s="444"/>
      <c r="P327" s="444"/>
      <c r="Q327" s="444"/>
    </row>
    <row r="328" spans="6:17" ht="25.15" customHeight="1">
      <c r="F328" s="453"/>
      <c r="G328" s="444"/>
      <c r="H328" s="444"/>
      <c r="I328" s="444"/>
      <c r="J328" s="444"/>
      <c r="K328" s="444"/>
      <c r="L328" s="444"/>
      <c r="M328" s="444"/>
      <c r="N328" s="444"/>
      <c r="O328" s="444"/>
      <c r="P328" s="444"/>
      <c r="Q328" s="444"/>
    </row>
    <row r="329" spans="6:17" ht="25.15" customHeight="1">
      <c r="F329" s="453"/>
      <c r="G329" s="444"/>
      <c r="H329" s="444"/>
      <c r="I329" s="444"/>
      <c r="J329" s="444"/>
      <c r="K329" s="444"/>
      <c r="L329" s="444"/>
      <c r="M329" s="444"/>
      <c r="N329" s="444"/>
      <c r="O329" s="444"/>
      <c r="P329" s="444"/>
      <c r="Q329" s="444"/>
    </row>
    <row r="330" spans="6:17" ht="25.15" customHeight="1">
      <c r="F330" s="453"/>
      <c r="G330" s="444"/>
      <c r="H330" s="444"/>
      <c r="I330" s="444"/>
      <c r="J330" s="444"/>
      <c r="K330" s="444"/>
      <c r="L330" s="444"/>
      <c r="M330" s="444"/>
      <c r="N330" s="444"/>
      <c r="O330" s="444"/>
      <c r="P330" s="444"/>
      <c r="Q330" s="444"/>
    </row>
    <row r="331" spans="6:17" ht="25.15" customHeight="1">
      <c r="F331" s="453"/>
      <c r="G331" s="444"/>
      <c r="H331" s="444"/>
      <c r="I331" s="444"/>
      <c r="J331" s="444"/>
      <c r="K331" s="444"/>
      <c r="L331" s="444"/>
      <c r="M331" s="444"/>
      <c r="N331" s="444"/>
      <c r="O331" s="444"/>
      <c r="P331" s="444"/>
      <c r="Q331" s="444"/>
    </row>
    <row r="332" spans="6:17" ht="25.15" customHeight="1">
      <c r="F332" s="453"/>
      <c r="G332" s="444"/>
      <c r="H332" s="444"/>
      <c r="I332" s="444"/>
      <c r="J332" s="444"/>
      <c r="K332" s="444"/>
      <c r="L332" s="444"/>
      <c r="M332" s="444"/>
      <c r="N332" s="444"/>
      <c r="O332" s="444"/>
      <c r="P332" s="444"/>
      <c r="Q332" s="444"/>
    </row>
    <row r="333" spans="6:17" ht="25.15" customHeight="1">
      <c r="F333" s="453"/>
      <c r="G333" s="444"/>
      <c r="H333" s="444"/>
      <c r="I333" s="444"/>
      <c r="J333" s="444"/>
      <c r="K333" s="444"/>
      <c r="L333" s="444"/>
      <c r="M333" s="444"/>
      <c r="N333" s="444"/>
      <c r="O333" s="444"/>
      <c r="P333" s="444"/>
      <c r="Q333" s="444"/>
    </row>
    <row r="334" spans="6:17" ht="25.15" customHeight="1">
      <c r="F334" s="453"/>
      <c r="G334" s="444"/>
      <c r="H334" s="444"/>
      <c r="I334" s="444"/>
      <c r="J334" s="444"/>
      <c r="K334" s="444"/>
      <c r="L334" s="444"/>
      <c r="M334" s="444"/>
      <c r="N334" s="444"/>
      <c r="O334" s="444"/>
      <c r="P334" s="444"/>
      <c r="Q334" s="444"/>
    </row>
    <row r="335" spans="6:17" ht="25.15" customHeight="1">
      <c r="F335" s="453"/>
      <c r="G335" s="444"/>
      <c r="H335" s="444"/>
      <c r="I335" s="444"/>
      <c r="J335" s="444"/>
      <c r="K335" s="444"/>
      <c r="L335" s="444"/>
      <c r="M335" s="444"/>
      <c r="N335" s="444"/>
      <c r="O335" s="444"/>
      <c r="P335" s="444"/>
      <c r="Q335" s="444"/>
    </row>
    <row r="336" spans="6:17" ht="25.15" customHeight="1">
      <c r="F336" s="453"/>
      <c r="G336" s="444"/>
      <c r="H336" s="444"/>
      <c r="I336" s="444"/>
      <c r="J336" s="444"/>
      <c r="K336" s="444"/>
      <c r="L336" s="444"/>
      <c r="M336" s="444"/>
      <c r="N336" s="444"/>
      <c r="O336" s="444"/>
      <c r="P336" s="444"/>
      <c r="Q336" s="444"/>
    </row>
    <row r="337" spans="6:17" ht="25.15" customHeight="1">
      <c r="F337" s="453"/>
      <c r="G337" s="444"/>
      <c r="H337" s="444"/>
      <c r="I337" s="444"/>
      <c r="J337" s="444"/>
      <c r="K337" s="444"/>
      <c r="L337" s="444"/>
      <c r="M337" s="444"/>
      <c r="N337" s="444"/>
      <c r="O337" s="444"/>
      <c r="P337" s="444"/>
      <c r="Q337" s="444"/>
    </row>
    <row r="338" spans="6:17" ht="25.15" customHeight="1">
      <c r="F338" s="453"/>
      <c r="G338" s="444"/>
      <c r="H338" s="444"/>
      <c r="I338" s="444"/>
      <c r="J338" s="444"/>
      <c r="K338" s="444"/>
      <c r="L338" s="444"/>
      <c r="M338" s="444"/>
      <c r="N338" s="444"/>
      <c r="O338" s="444"/>
      <c r="P338" s="444"/>
      <c r="Q338" s="444"/>
    </row>
    <row r="339" spans="6:17" ht="25.15" customHeight="1">
      <c r="F339" s="453"/>
      <c r="G339" s="444"/>
      <c r="H339" s="444"/>
      <c r="I339" s="444"/>
      <c r="J339" s="444"/>
      <c r="K339" s="444"/>
      <c r="L339" s="444"/>
      <c r="M339" s="444"/>
      <c r="N339" s="444"/>
      <c r="O339" s="444"/>
      <c r="P339" s="444"/>
      <c r="Q339" s="444"/>
    </row>
    <row r="340" spans="6:17" ht="25.15" customHeight="1">
      <c r="F340" s="453"/>
      <c r="G340" s="444"/>
      <c r="H340" s="444"/>
      <c r="I340" s="444"/>
      <c r="J340" s="444"/>
      <c r="K340" s="444"/>
      <c r="L340" s="444"/>
      <c r="M340" s="444"/>
      <c r="N340" s="444"/>
      <c r="O340" s="444"/>
      <c r="P340" s="444"/>
      <c r="Q340" s="444"/>
    </row>
    <row r="341" spans="6:17" ht="25.15" customHeight="1">
      <c r="F341" s="453"/>
      <c r="G341" s="444"/>
      <c r="H341" s="444"/>
      <c r="I341" s="444"/>
      <c r="J341" s="444"/>
      <c r="K341" s="444"/>
      <c r="L341" s="444"/>
      <c r="M341" s="444"/>
      <c r="N341" s="444"/>
      <c r="O341" s="444"/>
      <c r="P341" s="444"/>
      <c r="Q341" s="444"/>
    </row>
    <row r="342" spans="6:17" ht="25.15" customHeight="1">
      <c r="F342" s="453"/>
      <c r="G342" s="444"/>
      <c r="H342" s="444"/>
      <c r="I342" s="444"/>
      <c r="J342" s="444"/>
      <c r="K342" s="444"/>
      <c r="L342" s="444"/>
      <c r="M342" s="444"/>
      <c r="N342" s="444"/>
      <c r="O342" s="444"/>
      <c r="P342" s="444"/>
      <c r="Q342" s="444"/>
    </row>
    <row r="343" spans="6:17" ht="25.15" customHeight="1">
      <c r="F343" s="453"/>
      <c r="G343" s="444"/>
      <c r="H343" s="444"/>
      <c r="I343" s="444"/>
      <c r="J343" s="444"/>
      <c r="K343" s="444"/>
      <c r="L343" s="444"/>
      <c r="M343" s="444"/>
      <c r="N343" s="444"/>
      <c r="O343" s="444"/>
      <c r="P343" s="444"/>
      <c r="Q343" s="444"/>
    </row>
    <row r="344" spans="6:17" ht="25.15" customHeight="1">
      <c r="F344" s="453"/>
      <c r="G344" s="444"/>
      <c r="H344" s="444"/>
      <c r="I344" s="444"/>
      <c r="J344" s="444"/>
      <c r="K344" s="444"/>
      <c r="L344" s="444"/>
      <c r="M344" s="444"/>
      <c r="N344" s="444"/>
      <c r="O344" s="444"/>
      <c r="P344" s="444"/>
      <c r="Q344" s="444"/>
    </row>
    <row r="345" spans="6:17" ht="25.15" customHeight="1">
      <c r="F345" s="453"/>
      <c r="G345" s="444"/>
      <c r="H345" s="444"/>
      <c r="I345" s="444"/>
      <c r="J345" s="444"/>
      <c r="K345" s="444"/>
      <c r="L345" s="444"/>
      <c r="M345" s="444"/>
      <c r="N345" s="444"/>
      <c r="O345" s="444"/>
      <c r="P345" s="444"/>
      <c r="Q345" s="444"/>
    </row>
    <row r="346" spans="6:17" ht="25.15" customHeight="1">
      <c r="F346" s="453"/>
      <c r="G346" s="444"/>
      <c r="H346" s="444"/>
      <c r="I346" s="444"/>
      <c r="J346" s="444"/>
      <c r="K346" s="444"/>
      <c r="L346" s="444"/>
      <c r="M346" s="444"/>
      <c r="N346" s="444"/>
      <c r="O346" s="444"/>
      <c r="P346" s="444"/>
      <c r="Q346" s="444"/>
    </row>
    <row r="347" spans="6:17" ht="25.15" customHeight="1">
      <c r="F347" s="453"/>
      <c r="G347" s="444"/>
      <c r="H347" s="444"/>
      <c r="I347" s="444"/>
      <c r="J347" s="444"/>
      <c r="K347" s="444"/>
      <c r="L347" s="444"/>
      <c r="M347" s="444"/>
      <c r="N347" s="444"/>
      <c r="O347" s="444"/>
      <c r="P347" s="444"/>
      <c r="Q347" s="444"/>
    </row>
    <row r="348" spans="6:17" ht="25.15" customHeight="1">
      <c r="F348" s="453"/>
      <c r="G348" s="444"/>
      <c r="H348" s="444"/>
      <c r="I348" s="444"/>
      <c r="J348" s="444"/>
      <c r="K348" s="444"/>
      <c r="L348" s="444"/>
      <c r="M348" s="444"/>
      <c r="N348" s="444"/>
      <c r="O348" s="444"/>
      <c r="P348" s="444"/>
      <c r="Q348" s="444"/>
    </row>
    <row r="349" spans="6:17" ht="25.15" customHeight="1">
      <c r="F349" s="453"/>
      <c r="G349" s="444"/>
      <c r="H349" s="444"/>
      <c r="I349" s="444"/>
      <c r="J349" s="444"/>
      <c r="K349" s="444"/>
      <c r="L349" s="444"/>
      <c r="M349" s="444"/>
      <c r="N349" s="444"/>
      <c r="O349" s="444"/>
      <c r="P349" s="444"/>
      <c r="Q349" s="444"/>
    </row>
    <row r="350" spans="6:17" ht="25.15" customHeight="1">
      <c r="F350" s="453"/>
      <c r="G350" s="444"/>
      <c r="H350" s="444"/>
      <c r="I350" s="444"/>
      <c r="J350" s="444"/>
      <c r="K350" s="444"/>
      <c r="L350" s="444"/>
      <c r="M350" s="444"/>
      <c r="N350" s="444"/>
      <c r="O350" s="444"/>
      <c r="P350" s="444"/>
      <c r="Q350" s="444"/>
    </row>
    <row r="351" spans="6:17" ht="25.15" customHeight="1">
      <c r="F351" s="453"/>
      <c r="G351" s="444"/>
      <c r="H351" s="444"/>
      <c r="I351" s="444"/>
      <c r="J351" s="444"/>
      <c r="K351" s="444"/>
      <c r="L351" s="444"/>
      <c r="M351" s="444"/>
      <c r="N351" s="444"/>
      <c r="O351" s="444"/>
      <c r="P351" s="444"/>
      <c r="Q351" s="444"/>
    </row>
    <row r="352" spans="6:17" ht="25.15" customHeight="1">
      <c r="F352" s="453"/>
      <c r="G352" s="444"/>
      <c r="H352" s="444"/>
      <c r="I352" s="444"/>
      <c r="J352" s="444"/>
      <c r="K352" s="444"/>
      <c r="L352" s="444"/>
      <c r="M352" s="444"/>
      <c r="N352" s="444"/>
      <c r="O352" s="444"/>
      <c r="P352" s="444"/>
      <c r="Q352" s="444"/>
    </row>
    <row r="353" spans="6:17" ht="25.15" customHeight="1">
      <c r="F353" s="453"/>
      <c r="G353" s="444"/>
      <c r="H353" s="444"/>
      <c r="I353" s="444"/>
      <c r="J353" s="444"/>
      <c r="K353" s="444"/>
      <c r="L353" s="444"/>
      <c r="M353" s="444"/>
      <c r="N353" s="444"/>
      <c r="O353" s="444"/>
      <c r="P353" s="444"/>
      <c r="Q353" s="444"/>
    </row>
    <row r="354" spans="6:17" ht="25.15" customHeight="1">
      <c r="F354" s="453"/>
      <c r="G354" s="444"/>
      <c r="H354" s="444"/>
      <c r="I354" s="444"/>
      <c r="J354" s="444"/>
      <c r="K354" s="444"/>
      <c r="L354" s="444"/>
      <c r="M354" s="444"/>
      <c r="N354" s="444"/>
      <c r="O354" s="444"/>
      <c r="P354" s="444"/>
      <c r="Q354" s="444"/>
    </row>
    <row r="355" spans="6:17" ht="25.15" customHeight="1">
      <c r="F355" s="453"/>
      <c r="G355" s="444"/>
      <c r="H355" s="444"/>
      <c r="I355" s="444"/>
      <c r="J355" s="444"/>
      <c r="K355" s="444"/>
      <c r="L355" s="444"/>
      <c r="M355" s="444"/>
      <c r="N355" s="444"/>
      <c r="O355" s="444"/>
      <c r="P355" s="444"/>
      <c r="Q355" s="444"/>
    </row>
    <row r="356" spans="6:17" ht="25.15" customHeight="1">
      <c r="F356" s="453"/>
      <c r="G356" s="444"/>
      <c r="H356" s="444"/>
      <c r="I356" s="444"/>
      <c r="J356" s="444"/>
      <c r="K356" s="444"/>
      <c r="L356" s="444"/>
      <c r="M356" s="444"/>
      <c r="N356" s="444"/>
      <c r="O356" s="444"/>
      <c r="P356" s="444"/>
      <c r="Q356" s="444"/>
    </row>
    <row r="357" spans="6:17" ht="25.15" customHeight="1">
      <c r="F357" s="453"/>
      <c r="G357" s="444"/>
      <c r="H357" s="444"/>
      <c r="I357" s="444"/>
      <c r="J357" s="444"/>
      <c r="K357" s="444"/>
      <c r="L357" s="444"/>
      <c r="M357" s="444"/>
      <c r="N357" s="444"/>
      <c r="O357" s="444"/>
      <c r="P357" s="444"/>
      <c r="Q357" s="444"/>
    </row>
    <row r="358" spans="6:17" ht="25.15" customHeight="1">
      <c r="F358" s="453"/>
      <c r="G358" s="444"/>
      <c r="H358" s="444"/>
      <c r="I358" s="444"/>
      <c r="J358" s="444"/>
      <c r="K358" s="444"/>
      <c r="L358" s="444"/>
      <c r="M358" s="444"/>
      <c r="N358" s="444"/>
      <c r="O358" s="444"/>
      <c r="P358" s="444"/>
      <c r="Q358" s="444"/>
    </row>
    <row r="359" spans="6:17" ht="25.15" customHeight="1">
      <c r="F359" s="453"/>
      <c r="G359" s="444"/>
      <c r="H359" s="444"/>
      <c r="I359" s="444"/>
      <c r="J359" s="444"/>
      <c r="K359" s="444"/>
      <c r="L359" s="444"/>
      <c r="M359" s="444"/>
      <c r="N359" s="444"/>
      <c r="O359" s="444"/>
      <c r="P359" s="444"/>
      <c r="Q359" s="444"/>
    </row>
    <row r="360" spans="6:17" ht="25.15" customHeight="1">
      <c r="F360" s="453"/>
      <c r="G360" s="444"/>
      <c r="H360" s="444"/>
      <c r="I360" s="444"/>
      <c r="J360" s="444"/>
      <c r="K360" s="444"/>
      <c r="L360" s="444"/>
      <c r="M360" s="444"/>
      <c r="N360" s="444"/>
      <c r="O360" s="444"/>
      <c r="P360" s="444"/>
      <c r="Q360" s="444"/>
    </row>
    <row r="361" spans="6:17" ht="25.15" customHeight="1">
      <c r="F361" s="453"/>
      <c r="G361" s="444"/>
      <c r="H361" s="444"/>
      <c r="I361" s="444"/>
      <c r="J361" s="444"/>
      <c r="K361" s="444"/>
      <c r="L361" s="444"/>
      <c r="M361" s="444"/>
      <c r="N361" s="444"/>
      <c r="O361" s="444"/>
      <c r="P361" s="444"/>
      <c r="Q361" s="444"/>
    </row>
    <row r="362" spans="6:17" ht="25.15" customHeight="1">
      <c r="F362" s="453"/>
      <c r="G362" s="444"/>
      <c r="H362" s="444"/>
      <c r="I362" s="444"/>
      <c r="J362" s="444"/>
      <c r="K362" s="444"/>
      <c r="L362" s="444"/>
      <c r="M362" s="444"/>
      <c r="N362" s="444"/>
      <c r="O362" s="444"/>
      <c r="P362" s="444"/>
      <c r="Q362" s="444"/>
    </row>
    <row r="363" spans="6:17" ht="25.15" customHeight="1">
      <c r="F363" s="453"/>
      <c r="G363" s="444"/>
      <c r="H363" s="444"/>
      <c r="I363" s="444"/>
      <c r="J363" s="444"/>
      <c r="K363" s="444"/>
      <c r="L363" s="444"/>
      <c r="M363" s="444"/>
      <c r="N363" s="444"/>
      <c r="O363" s="444"/>
      <c r="P363" s="444"/>
      <c r="Q363" s="444"/>
    </row>
    <row r="364" spans="6:17" ht="25.15" customHeight="1">
      <c r="F364" s="453"/>
      <c r="G364" s="444"/>
      <c r="H364" s="444"/>
      <c r="I364" s="444"/>
      <c r="J364" s="444"/>
      <c r="K364" s="444"/>
      <c r="L364" s="444"/>
      <c r="M364" s="444"/>
      <c r="N364" s="444"/>
      <c r="O364" s="444"/>
      <c r="P364" s="444"/>
      <c r="Q364" s="444"/>
    </row>
    <row r="365" spans="6:17" ht="25.15" customHeight="1">
      <c r="F365" s="453"/>
      <c r="G365" s="444"/>
      <c r="H365" s="444"/>
      <c r="I365" s="444"/>
      <c r="J365" s="444"/>
      <c r="K365" s="444"/>
      <c r="L365" s="444"/>
      <c r="M365" s="444"/>
      <c r="N365" s="444"/>
      <c r="O365" s="444"/>
      <c r="P365" s="444"/>
      <c r="Q365" s="444"/>
    </row>
    <row r="366" spans="6:17" ht="25.15" customHeight="1">
      <c r="F366" s="453"/>
      <c r="G366" s="444"/>
      <c r="H366" s="444"/>
      <c r="I366" s="444"/>
      <c r="J366" s="444"/>
      <c r="K366" s="444"/>
      <c r="L366" s="444"/>
      <c r="M366" s="444"/>
      <c r="N366" s="444"/>
      <c r="O366" s="444"/>
      <c r="P366" s="444"/>
      <c r="Q366" s="444"/>
    </row>
    <row r="367" spans="6:17" ht="25.15" customHeight="1">
      <c r="F367" s="453"/>
      <c r="G367" s="444"/>
      <c r="H367" s="444"/>
      <c r="I367" s="444"/>
      <c r="J367" s="444"/>
      <c r="K367" s="444"/>
      <c r="L367" s="444"/>
      <c r="M367" s="444"/>
      <c r="N367" s="444"/>
      <c r="O367" s="444"/>
      <c r="P367" s="444"/>
      <c r="Q367" s="444"/>
    </row>
    <row r="368" spans="6:17" ht="25.15" customHeight="1">
      <c r="F368" s="453"/>
      <c r="G368" s="444"/>
      <c r="H368" s="444"/>
      <c r="I368" s="444"/>
      <c r="J368" s="444"/>
      <c r="K368" s="444"/>
      <c r="L368" s="444"/>
      <c r="M368" s="444"/>
      <c r="N368" s="444"/>
      <c r="O368" s="444"/>
      <c r="P368" s="444"/>
      <c r="Q368" s="444"/>
    </row>
    <row r="369" spans="6:17" ht="25.15" customHeight="1">
      <c r="F369" s="453"/>
      <c r="G369" s="444"/>
      <c r="H369" s="444"/>
      <c r="I369" s="444"/>
      <c r="J369" s="444"/>
      <c r="K369" s="444"/>
      <c r="L369" s="444"/>
      <c r="M369" s="444"/>
      <c r="N369" s="444"/>
      <c r="O369" s="444"/>
      <c r="P369" s="444"/>
      <c r="Q369" s="444"/>
    </row>
    <row r="370" spans="6:17" ht="25.15" customHeight="1">
      <c r="F370" s="453"/>
      <c r="G370" s="444"/>
      <c r="H370" s="444"/>
      <c r="I370" s="444"/>
      <c r="J370" s="444"/>
      <c r="K370" s="444"/>
      <c r="L370" s="444"/>
      <c r="M370" s="444"/>
      <c r="N370" s="444"/>
      <c r="O370" s="444"/>
      <c r="P370" s="444"/>
      <c r="Q370" s="444"/>
    </row>
    <row r="371" spans="6:17" ht="25.15" customHeight="1">
      <c r="F371" s="453"/>
      <c r="G371" s="444"/>
      <c r="H371" s="444"/>
      <c r="I371" s="444"/>
      <c r="J371" s="444"/>
      <c r="K371" s="444"/>
      <c r="L371" s="444"/>
      <c r="M371" s="444"/>
      <c r="N371" s="444"/>
      <c r="O371" s="444"/>
      <c r="P371" s="444"/>
      <c r="Q371" s="444"/>
    </row>
    <row r="372" spans="6:17" ht="25.15" customHeight="1">
      <c r="F372" s="453"/>
      <c r="G372" s="444"/>
      <c r="H372" s="444"/>
      <c r="I372" s="444"/>
      <c r="J372" s="444"/>
      <c r="K372" s="444"/>
      <c r="L372" s="444"/>
      <c r="M372" s="444"/>
      <c r="N372" s="444"/>
      <c r="O372" s="444"/>
      <c r="P372" s="444"/>
      <c r="Q372" s="444"/>
    </row>
    <row r="373" spans="6:17" ht="25.15" customHeight="1">
      <c r="F373" s="453"/>
      <c r="G373" s="444"/>
      <c r="H373" s="444"/>
      <c r="I373" s="444"/>
      <c r="J373" s="444"/>
      <c r="K373" s="444"/>
      <c r="L373" s="444"/>
      <c r="M373" s="444"/>
      <c r="N373" s="444"/>
      <c r="O373" s="444"/>
      <c r="P373" s="444"/>
      <c r="Q373" s="444"/>
    </row>
    <row r="374" spans="6:17" ht="25.15" customHeight="1">
      <c r="F374" s="453"/>
      <c r="G374" s="444"/>
      <c r="H374" s="444"/>
      <c r="I374" s="444"/>
      <c r="J374" s="444"/>
      <c r="K374" s="444"/>
      <c r="L374" s="444"/>
      <c r="M374" s="444"/>
      <c r="N374" s="444"/>
      <c r="O374" s="444"/>
      <c r="P374" s="444"/>
      <c r="Q374" s="444"/>
    </row>
    <row r="375" spans="6:17" ht="25.15" customHeight="1">
      <c r="F375" s="453"/>
      <c r="G375" s="444"/>
      <c r="H375" s="444"/>
      <c r="I375" s="444"/>
      <c r="J375" s="444"/>
      <c r="K375" s="444"/>
      <c r="L375" s="444"/>
      <c r="M375" s="444"/>
      <c r="N375" s="444"/>
      <c r="O375" s="444"/>
      <c r="P375" s="444"/>
      <c r="Q375" s="444"/>
    </row>
    <row r="376" spans="6:17" ht="25.15" customHeight="1">
      <c r="F376" s="453"/>
      <c r="G376" s="444"/>
      <c r="H376" s="444"/>
      <c r="I376" s="444"/>
      <c r="J376" s="444"/>
      <c r="K376" s="444"/>
      <c r="L376" s="444"/>
      <c r="M376" s="444"/>
      <c r="N376" s="444"/>
      <c r="O376" s="444"/>
      <c r="P376" s="444"/>
      <c r="Q376" s="444"/>
    </row>
    <row r="377" spans="6:17" ht="25.15" customHeight="1">
      <c r="F377" s="453"/>
      <c r="G377" s="444"/>
      <c r="H377" s="444"/>
      <c r="I377" s="444"/>
      <c r="J377" s="444"/>
      <c r="K377" s="444"/>
      <c r="L377" s="444"/>
      <c r="M377" s="444"/>
      <c r="N377" s="444"/>
      <c r="O377" s="444"/>
      <c r="P377" s="444"/>
      <c r="Q377" s="444"/>
    </row>
    <row r="378" spans="6:17" ht="25.15" customHeight="1">
      <c r="F378" s="453"/>
      <c r="G378" s="444"/>
      <c r="H378" s="444"/>
      <c r="I378" s="444"/>
      <c r="J378" s="444"/>
      <c r="K378" s="444"/>
      <c r="L378" s="444"/>
      <c r="M378" s="444"/>
      <c r="N378" s="444"/>
      <c r="O378" s="444"/>
      <c r="P378" s="444"/>
      <c r="Q378" s="444"/>
    </row>
    <row r="379" spans="6:17" ht="25.15" customHeight="1">
      <c r="F379" s="453"/>
      <c r="G379" s="444"/>
      <c r="H379" s="444"/>
      <c r="I379" s="444"/>
      <c r="J379" s="444"/>
      <c r="K379" s="444"/>
      <c r="L379" s="444"/>
      <c r="M379" s="444"/>
      <c r="N379" s="444"/>
      <c r="O379" s="444"/>
      <c r="P379" s="444"/>
      <c r="Q379" s="444"/>
    </row>
    <row r="380" spans="6:17" ht="25.15" customHeight="1">
      <c r="F380" s="453"/>
      <c r="G380" s="444"/>
      <c r="H380" s="444"/>
      <c r="I380" s="444"/>
      <c r="J380" s="444"/>
      <c r="K380" s="444"/>
      <c r="L380" s="444"/>
      <c r="M380" s="444"/>
      <c r="N380" s="444"/>
      <c r="O380" s="444"/>
      <c r="P380" s="444"/>
      <c r="Q380" s="444"/>
    </row>
    <row r="381" spans="6:17" ht="25.15" customHeight="1">
      <c r="F381" s="453"/>
      <c r="G381" s="444"/>
      <c r="H381" s="444"/>
      <c r="I381" s="444"/>
      <c r="J381" s="444"/>
      <c r="K381" s="444"/>
      <c r="L381" s="444"/>
      <c r="M381" s="444"/>
      <c r="N381" s="444"/>
      <c r="O381" s="444"/>
      <c r="P381" s="444"/>
      <c r="Q381" s="444"/>
    </row>
    <row r="382" spans="6:17" ht="25.15" customHeight="1">
      <c r="F382" s="453"/>
      <c r="G382" s="444"/>
      <c r="H382" s="444"/>
      <c r="I382" s="444"/>
      <c r="J382" s="444"/>
      <c r="K382" s="444"/>
      <c r="L382" s="444"/>
      <c r="M382" s="444"/>
      <c r="N382" s="444"/>
      <c r="O382" s="444"/>
      <c r="P382" s="444"/>
      <c r="Q382" s="444"/>
    </row>
    <row r="383" spans="6:17" ht="25.15" customHeight="1">
      <c r="F383" s="453"/>
      <c r="G383" s="444"/>
      <c r="H383" s="444"/>
      <c r="I383" s="444"/>
      <c r="J383" s="444"/>
      <c r="K383" s="444"/>
      <c r="L383" s="444"/>
      <c r="M383" s="444"/>
      <c r="N383" s="444"/>
      <c r="O383" s="444"/>
      <c r="P383" s="444"/>
      <c r="Q383" s="444"/>
    </row>
    <row r="384" spans="6:17" ht="25.15" customHeight="1">
      <c r="F384" s="453"/>
      <c r="G384" s="444"/>
      <c r="H384" s="444"/>
      <c r="I384" s="444"/>
      <c r="J384" s="444"/>
      <c r="K384" s="444"/>
      <c r="L384" s="444"/>
      <c r="M384" s="444"/>
      <c r="N384" s="444"/>
      <c r="O384" s="444"/>
      <c r="P384" s="444"/>
      <c r="Q384" s="444"/>
    </row>
    <row r="385" spans="6:17" ht="25.15" customHeight="1">
      <c r="F385" s="453"/>
      <c r="G385" s="444"/>
      <c r="H385" s="444"/>
      <c r="I385" s="444"/>
      <c r="J385" s="444"/>
      <c r="K385" s="444"/>
      <c r="L385" s="444"/>
      <c r="M385" s="444"/>
      <c r="N385" s="444"/>
      <c r="O385" s="444"/>
      <c r="P385" s="444"/>
      <c r="Q385" s="444"/>
    </row>
    <row r="386" spans="6:17" ht="25.15" customHeight="1">
      <c r="F386" s="453"/>
      <c r="G386" s="444"/>
      <c r="H386" s="444"/>
      <c r="I386" s="444"/>
      <c r="J386" s="444"/>
      <c r="K386" s="444"/>
      <c r="L386" s="444"/>
      <c r="M386" s="444"/>
      <c r="N386" s="444"/>
      <c r="O386" s="444"/>
      <c r="P386" s="444"/>
      <c r="Q386" s="444"/>
    </row>
    <row r="387" spans="6:17" ht="25.15" customHeight="1">
      <c r="F387" s="453"/>
      <c r="G387" s="444"/>
      <c r="H387" s="444"/>
      <c r="I387" s="444"/>
      <c r="J387" s="444"/>
      <c r="K387" s="444"/>
      <c r="L387" s="444"/>
      <c r="M387" s="444"/>
      <c r="N387" s="444"/>
      <c r="O387" s="444"/>
      <c r="P387" s="444"/>
      <c r="Q387" s="444"/>
    </row>
    <row r="388" spans="6:17" ht="25.15" customHeight="1">
      <c r="F388" s="453"/>
      <c r="G388" s="444"/>
      <c r="H388" s="444"/>
      <c r="I388" s="444"/>
      <c r="J388" s="444"/>
      <c r="K388" s="444"/>
      <c r="L388" s="444"/>
      <c r="M388" s="444"/>
      <c r="N388" s="444"/>
      <c r="O388" s="444"/>
      <c r="P388" s="444"/>
      <c r="Q388" s="444"/>
    </row>
    <row r="389" spans="6:17" ht="25.15" customHeight="1">
      <c r="F389" s="453"/>
      <c r="G389" s="444"/>
      <c r="H389" s="444"/>
      <c r="I389" s="444"/>
      <c r="J389" s="444"/>
      <c r="K389" s="444"/>
      <c r="L389" s="444"/>
      <c r="M389" s="444"/>
      <c r="N389" s="444"/>
      <c r="O389" s="444"/>
      <c r="P389" s="444"/>
      <c r="Q389" s="444"/>
    </row>
    <row r="390" spans="6:17" ht="25.15" customHeight="1">
      <c r="F390" s="453"/>
      <c r="G390" s="444"/>
      <c r="H390" s="444"/>
      <c r="I390" s="444"/>
      <c r="J390" s="444"/>
      <c r="K390" s="444"/>
      <c r="L390" s="444"/>
      <c r="M390" s="444"/>
      <c r="N390" s="444"/>
      <c r="O390" s="444"/>
      <c r="P390" s="444"/>
      <c r="Q390" s="444"/>
    </row>
    <row r="391" spans="6:17" ht="25.15" customHeight="1">
      <c r="F391" s="453"/>
      <c r="G391" s="444"/>
      <c r="H391" s="444"/>
      <c r="I391" s="444"/>
      <c r="J391" s="444"/>
      <c r="K391" s="444"/>
      <c r="L391" s="444"/>
      <c r="M391" s="444"/>
      <c r="N391" s="444"/>
      <c r="O391" s="444"/>
      <c r="P391" s="444"/>
      <c r="Q391" s="444"/>
    </row>
    <row r="392" spans="6:17" ht="25.15" customHeight="1">
      <c r="F392" s="453"/>
      <c r="G392" s="444"/>
      <c r="H392" s="444"/>
      <c r="I392" s="444"/>
      <c r="J392" s="444"/>
      <c r="K392" s="444"/>
      <c r="L392" s="444"/>
      <c r="M392" s="444"/>
      <c r="N392" s="444"/>
      <c r="O392" s="444"/>
      <c r="P392" s="444"/>
      <c r="Q392" s="444"/>
    </row>
    <row r="393" spans="6:17" ht="25.15" customHeight="1">
      <c r="F393" s="453"/>
      <c r="G393" s="444"/>
      <c r="H393" s="444"/>
      <c r="I393" s="444"/>
      <c r="J393" s="444"/>
      <c r="K393" s="444"/>
      <c r="L393" s="444"/>
      <c r="M393" s="444"/>
      <c r="N393" s="444"/>
      <c r="O393" s="444"/>
      <c r="P393" s="444"/>
      <c r="Q393" s="444"/>
    </row>
    <row r="394" spans="6:17" ht="25.15" customHeight="1">
      <c r="F394" s="453"/>
      <c r="G394" s="444"/>
      <c r="H394" s="444"/>
      <c r="I394" s="444"/>
      <c r="J394" s="444"/>
      <c r="K394" s="444"/>
      <c r="L394" s="444"/>
      <c r="M394" s="444"/>
      <c r="N394" s="444"/>
      <c r="O394" s="444"/>
      <c r="P394" s="444"/>
      <c r="Q394" s="444"/>
    </row>
    <row r="395" spans="6:17" ht="25.15" customHeight="1">
      <c r="F395" s="453"/>
      <c r="G395" s="444"/>
      <c r="H395" s="444"/>
      <c r="I395" s="444"/>
      <c r="J395" s="444"/>
      <c r="K395" s="444"/>
      <c r="L395" s="444"/>
      <c r="M395" s="444"/>
      <c r="N395" s="444"/>
      <c r="O395" s="444"/>
      <c r="P395" s="444"/>
      <c r="Q395" s="444"/>
    </row>
    <row r="396" spans="6:17" ht="25.15" customHeight="1">
      <c r="F396" s="453"/>
      <c r="G396" s="444"/>
      <c r="H396" s="444"/>
      <c r="I396" s="444"/>
      <c r="J396" s="444"/>
      <c r="K396" s="444"/>
      <c r="L396" s="444"/>
      <c r="M396" s="444"/>
      <c r="N396" s="444"/>
      <c r="O396" s="444"/>
      <c r="P396" s="444"/>
      <c r="Q396" s="444"/>
    </row>
    <row r="397" spans="6:17" ht="25.15" customHeight="1">
      <c r="F397" s="453"/>
      <c r="G397" s="444"/>
      <c r="H397" s="444"/>
      <c r="I397" s="444"/>
      <c r="J397" s="444"/>
      <c r="K397" s="444"/>
      <c r="L397" s="444"/>
      <c r="M397" s="444"/>
      <c r="N397" s="444"/>
      <c r="O397" s="444"/>
      <c r="P397" s="444"/>
      <c r="Q397" s="444"/>
    </row>
    <row r="398" spans="6:17" ht="25.15" customHeight="1">
      <c r="F398" s="453"/>
      <c r="G398" s="444"/>
      <c r="H398" s="444"/>
      <c r="I398" s="444"/>
      <c r="J398" s="444"/>
      <c r="K398" s="444"/>
      <c r="L398" s="444"/>
      <c r="M398" s="444"/>
      <c r="N398" s="444"/>
      <c r="O398" s="444"/>
      <c r="P398" s="444"/>
      <c r="Q398" s="444"/>
    </row>
    <row r="399" spans="6:17" ht="25.15" customHeight="1">
      <c r="F399" s="453"/>
      <c r="G399" s="444"/>
      <c r="H399" s="444"/>
      <c r="I399" s="444"/>
      <c r="J399" s="444"/>
      <c r="K399" s="444"/>
      <c r="L399" s="444"/>
      <c r="M399" s="444"/>
      <c r="N399" s="444"/>
      <c r="O399" s="444"/>
      <c r="P399" s="444"/>
      <c r="Q399" s="444"/>
    </row>
    <row r="400" spans="6:17" ht="25.15" customHeight="1">
      <c r="F400" s="453"/>
      <c r="G400" s="444"/>
      <c r="H400" s="444"/>
      <c r="I400" s="444"/>
      <c r="J400" s="444"/>
      <c r="K400" s="444"/>
      <c r="L400" s="444"/>
      <c r="M400" s="444"/>
      <c r="N400" s="444"/>
      <c r="O400" s="444"/>
      <c r="P400" s="444"/>
      <c r="Q400" s="444"/>
    </row>
    <row r="401" spans="6:17" ht="25.15" customHeight="1">
      <c r="F401" s="453"/>
      <c r="G401" s="444"/>
      <c r="H401" s="444"/>
      <c r="I401" s="444"/>
      <c r="J401" s="444"/>
      <c r="K401" s="444"/>
      <c r="L401" s="444"/>
      <c r="M401" s="444"/>
      <c r="N401" s="444"/>
      <c r="O401" s="444"/>
      <c r="P401" s="444"/>
      <c r="Q401" s="444"/>
    </row>
    <row r="402" spans="6:17" ht="25.15" customHeight="1">
      <c r="F402" s="453"/>
      <c r="G402" s="444"/>
      <c r="H402" s="444"/>
      <c r="I402" s="444"/>
      <c r="J402" s="444"/>
      <c r="K402" s="444"/>
      <c r="L402" s="444"/>
      <c r="M402" s="444"/>
      <c r="N402" s="444"/>
      <c r="O402" s="444"/>
      <c r="P402" s="444"/>
      <c r="Q402" s="444"/>
    </row>
    <row r="403" spans="6:17" ht="25.15" customHeight="1">
      <c r="F403" s="453"/>
      <c r="G403" s="444"/>
      <c r="H403" s="444"/>
      <c r="I403" s="444"/>
      <c r="J403" s="444"/>
      <c r="K403" s="444"/>
      <c r="L403" s="444"/>
      <c r="M403" s="444"/>
      <c r="N403" s="444"/>
      <c r="O403" s="444"/>
      <c r="P403" s="444"/>
      <c r="Q403" s="444"/>
    </row>
    <row r="404" spans="6:17" ht="25.15" customHeight="1">
      <c r="F404" s="453"/>
      <c r="G404" s="444"/>
      <c r="H404" s="444"/>
      <c r="I404" s="444"/>
      <c r="J404" s="444"/>
      <c r="K404" s="444"/>
      <c r="L404" s="444"/>
      <c r="M404" s="444"/>
      <c r="N404" s="444"/>
      <c r="O404" s="444"/>
      <c r="P404" s="444"/>
      <c r="Q404" s="444"/>
    </row>
    <row r="405" spans="6:17" ht="25.15" customHeight="1">
      <c r="F405" s="453"/>
      <c r="G405" s="444"/>
      <c r="H405" s="444"/>
      <c r="I405" s="444"/>
      <c r="J405" s="444"/>
      <c r="K405" s="444"/>
      <c r="L405" s="444"/>
      <c r="M405" s="444"/>
      <c r="N405" s="444"/>
      <c r="O405" s="444"/>
      <c r="P405" s="444"/>
      <c r="Q405" s="444"/>
    </row>
    <row r="406" spans="6:17" ht="25.15" customHeight="1">
      <c r="F406" s="453"/>
      <c r="G406" s="444"/>
      <c r="H406" s="444"/>
      <c r="I406" s="444"/>
      <c r="J406" s="444"/>
      <c r="K406" s="444"/>
      <c r="L406" s="444"/>
      <c r="M406" s="444"/>
      <c r="N406" s="444"/>
      <c r="O406" s="444"/>
      <c r="P406" s="444"/>
      <c r="Q406" s="444"/>
    </row>
    <row r="407" spans="6:17" ht="25.15" customHeight="1">
      <c r="F407" s="453"/>
      <c r="G407" s="444"/>
      <c r="H407" s="444"/>
      <c r="I407" s="444"/>
      <c r="J407" s="444"/>
      <c r="K407" s="444"/>
      <c r="L407" s="444"/>
      <c r="M407" s="444"/>
      <c r="N407" s="444"/>
      <c r="O407" s="444"/>
      <c r="P407" s="444"/>
      <c r="Q407" s="444"/>
    </row>
    <row r="408" spans="6:17" ht="25.15" customHeight="1">
      <c r="F408" s="453"/>
      <c r="G408" s="444"/>
      <c r="H408" s="444"/>
      <c r="I408" s="444"/>
      <c r="J408" s="444"/>
      <c r="K408" s="444"/>
      <c r="L408" s="444"/>
      <c r="M408" s="444"/>
      <c r="N408" s="444"/>
      <c r="O408" s="444"/>
      <c r="P408" s="444"/>
      <c r="Q408" s="444"/>
    </row>
    <row r="409" spans="6:17" ht="25.15" customHeight="1">
      <c r="F409" s="453"/>
      <c r="G409" s="444"/>
      <c r="H409" s="444"/>
      <c r="I409" s="444"/>
      <c r="J409" s="444"/>
      <c r="K409" s="444"/>
      <c r="L409" s="444"/>
      <c r="M409" s="444"/>
      <c r="N409" s="444"/>
      <c r="O409" s="444"/>
      <c r="P409" s="444"/>
      <c r="Q409" s="444"/>
    </row>
    <row r="410" spans="6:17" ht="25.15" customHeight="1">
      <c r="F410" s="453"/>
      <c r="G410" s="444"/>
      <c r="H410" s="444"/>
      <c r="I410" s="444"/>
      <c r="J410" s="444"/>
      <c r="K410" s="444"/>
      <c r="L410" s="444"/>
      <c r="M410" s="444"/>
      <c r="N410" s="444"/>
      <c r="O410" s="444"/>
      <c r="P410" s="444"/>
      <c r="Q410" s="444"/>
    </row>
    <row r="411" spans="6:17" ht="25.15" customHeight="1">
      <c r="F411" s="453"/>
      <c r="G411" s="444"/>
      <c r="H411" s="444"/>
      <c r="I411" s="444"/>
      <c r="J411" s="444"/>
      <c r="K411" s="444"/>
      <c r="L411" s="444"/>
      <c r="M411" s="444"/>
      <c r="N411" s="444"/>
      <c r="O411" s="444"/>
      <c r="P411" s="444"/>
      <c r="Q411" s="444"/>
    </row>
    <row r="412" spans="6:17" ht="25.15" customHeight="1">
      <c r="F412" s="453"/>
      <c r="G412" s="444"/>
      <c r="H412" s="444"/>
      <c r="I412" s="444"/>
      <c r="J412" s="444"/>
      <c r="K412" s="444"/>
      <c r="L412" s="444"/>
      <c r="M412" s="444"/>
      <c r="N412" s="444"/>
      <c r="O412" s="444"/>
      <c r="P412" s="444"/>
      <c r="Q412" s="444"/>
    </row>
    <row r="413" spans="6:17" ht="25.15" customHeight="1">
      <c r="F413" s="453"/>
      <c r="G413" s="444"/>
      <c r="H413" s="444"/>
      <c r="I413" s="444"/>
      <c r="J413" s="444"/>
      <c r="K413" s="444"/>
      <c r="L413" s="444"/>
      <c r="M413" s="444"/>
      <c r="N413" s="444"/>
      <c r="O413" s="444"/>
      <c r="P413" s="444"/>
      <c r="Q413" s="444"/>
    </row>
    <row r="414" spans="6:17" ht="25.15" customHeight="1">
      <c r="F414" s="453"/>
      <c r="G414" s="444"/>
      <c r="H414" s="444"/>
      <c r="I414" s="444"/>
      <c r="J414" s="444"/>
      <c r="K414" s="444"/>
      <c r="L414" s="444"/>
      <c r="M414" s="444"/>
      <c r="N414" s="444"/>
      <c r="O414" s="444"/>
      <c r="P414" s="444"/>
      <c r="Q414" s="444"/>
    </row>
    <row r="415" spans="6:17" ht="25.15" customHeight="1">
      <c r="F415" s="453"/>
      <c r="G415" s="444"/>
      <c r="H415" s="444"/>
      <c r="I415" s="444"/>
      <c r="J415" s="444"/>
      <c r="K415" s="444"/>
      <c r="L415" s="444"/>
      <c r="M415" s="444"/>
      <c r="N415" s="444"/>
      <c r="O415" s="444"/>
      <c r="P415" s="444"/>
      <c r="Q415" s="444"/>
    </row>
    <row r="416" spans="6:17" ht="25.15" customHeight="1">
      <c r="F416" s="453"/>
      <c r="G416" s="444"/>
      <c r="H416" s="444"/>
      <c r="I416" s="444"/>
      <c r="J416" s="444"/>
      <c r="K416" s="444"/>
      <c r="L416" s="444"/>
      <c r="M416" s="444"/>
      <c r="N416" s="444"/>
      <c r="O416" s="444"/>
      <c r="P416" s="444"/>
      <c r="Q416" s="444"/>
    </row>
    <row r="417" spans="6:17" ht="25.15" customHeight="1">
      <c r="F417" s="453"/>
      <c r="G417" s="444"/>
      <c r="H417" s="444"/>
      <c r="I417" s="444"/>
      <c r="J417" s="444"/>
      <c r="K417" s="444"/>
      <c r="L417" s="444"/>
      <c r="M417" s="444"/>
      <c r="N417" s="444"/>
      <c r="O417" s="444"/>
      <c r="P417" s="444"/>
      <c r="Q417" s="444"/>
    </row>
    <row r="418" spans="6:17" ht="25.15" customHeight="1">
      <c r="F418" s="453"/>
      <c r="G418" s="444"/>
      <c r="H418" s="444"/>
      <c r="I418" s="444"/>
      <c r="J418" s="444"/>
      <c r="K418" s="444"/>
      <c r="L418" s="444"/>
      <c r="M418" s="444"/>
      <c r="N418" s="444"/>
      <c r="O418" s="444"/>
      <c r="P418" s="444"/>
      <c r="Q418" s="444"/>
    </row>
    <row r="419" spans="6:17" ht="25.15" customHeight="1">
      <c r="F419" s="453"/>
      <c r="G419" s="444"/>
      <c r="H419" s="444"/>
      <c r="I419" s="444"/>
      <c r="J419" s="444"/>
      <c r="K419" s="444"/>
      <c r="L419" s="444"/>
      <c r="M419" s="444"/>
      <c r="N419" s="444"/>
      <c r="O419" s="444"/>
      <c r="P419" s="444"/>
      <c r="Q419" s="444"/>
    </row>
    <row r="420" spans="6:17" ht="25.15" customHeight="1">
      <c r="F420" s="453"/>
      <c r="G420" s="444"/>
      <c r="H420" s="444"/>
      <c r="I420" s="444"/>
      <c r="J420" s="444"/>
      <c r="K420" s="444"/>
      <c r="L420" s="444"/>
      <c r="M420" s="444"/>
      <c r="N420" s="444"/>
      <c r="O420" s="444"/>
      <c r="P420" s="444"/>
      <c r="Q420" s="444"/>
    </row>
    <row r="421" spans="6:17" ht="25.15" customHeight="1">
      <c r="F421" s="453"/>
      <c r="G421" s="444"/>
      <c r="H421" s="444"/>
      <c r="I421" s="444"/>
      <c r="J421" s="444"/>
      <c r="K421" s="444"/>
      <c r="L421" s="444"/>
      <c r="M421" s="444"/>
      <c r="N421" s="444"/>
      <c r="O421" s="444"/>
      <c r="P421" s="444"/>
      <c r="Q421" s="444"/>
    </row>
    <row r="422" spans="6:17" ht="25.15" customHeight="1">
      <c r="F422" s="453"/>
      <c r="G422" s="444"/>
      <c r="H422" s="444"/>
      <c r="I422" s="444"/>
      <c r="J422" s="444"/>
      <c r="K422" s="444"/>
      <c r="L422" s="444"/>
      <c r="M422" s="444"/>
      <c r="N422" s="444"/>
      <c r="O422" s="444"/>
      <c r="P422" s="444"/>
      <c r="Q422" s="444"/>
    </row>
    <row r="423" spans="6:17" ht="25.15" customHeight="1">
      <c r="F423" s="453"/>
      <c r="G423" s="444"/>
      <c r="H423" s="444"/>
      <c r="I423" s="444"/>
      <c r="J423" s="444"/>
      <c r="K423" s="444"/>
      <c r="L423" s="444"/>
      <c r="M423" s="444"/>
      <c r="N423" s="444"/>
      <c r="O423" s="444"/>
      <c r="P423" s="444"/>
      <c r="Q423" s="444"/>
    </row>
    <row r="424" spans="6:17" ht="25.15" customHeight="1">
      <c r="F424" s="453"/>
      <c r="G424" s="444"/>
      <c r="H424" s="444"/>
      <c r="I424" s="444"/>
      <c r="J424" s="444"/>
      <c r="K424" s="444"/>
      <c r="L424" s="444"/>
      <c r="M424" s="444"/>
      <c r="N424" s="444"/>
      <c r="O424" s="444"/>
      <c r="P424" s="444"/>
      <c r="Q424" s="444"/>
    </row>
    <row r="425" spans="6:17" ht="25.15" customHeight="1">
      <c r="F425" s="453"/>
      <c r="G425" s="444"/>
      <c r="H425" s="444"/>
      <c r="I425" s="444"/>
      <c r="J425" s="444"/>
      <c r="K425" s="444"/>
      <c r="L425" s="444"/>
      <c r="M425" s="444"/>
      <c r="N425" s="444"/>
      <c r="O425" s="444"/>
      <c r="P425" s="444"/>
      <c r="Q425" s="444"/>
    </row>
    <row r="426" spans="6:17" ht="25.15" customHeight="1">
      <c r="F426" s="453"/>
      <c r="G426" s="444"/>
      <c r="H426" s="444"/>
      <c r="I426" s="444"/>
      <c r="J426" s="444"/>
      <c r="K426" s="444"/>
      <c r="L426" s="444"/>
      <c r="M426" s="444"/>
      <c r="N426" s="444"/>
      <c r="O426" s="444"/>
      <c r="P426" s="444"/>
      <c r="Q426" s="444"/>
    </row>
    <row r="427" spans="6:17" ht="25.15" customHeight="1">
      <c r="F427" s="453"/>
      <c r="G427" s="444"/>
      <c r="H427" s="444"/>
      <c r="I427" s="444"/>
      <c r="J427" s="444"/>
      <c r="K427" s="444"/>
      <c r="L427" s="444"/>
      <c r="M427" s="444"/>
      <c r="N427" s="444"/>
      <c r="O427" s="444"/>
      <c r="P427" s="444"/>
      <c r="Q427" s="444"/>
    </row>
    <row r="428" spans="6:17" ht="25.15" customHeight="1">
      <c r="F428" s="453"/>
      <c r="G428" s="444"/>
      <c r="H428" s="444"/>
      <c r="I428" s="444"/>
      <c r="J428" s="444"/>
      <c r="K428" s="444"/>
      <c r="L428" s="444"/>
      <c r="M428" s="444"/>
      <c r="N428" s="444"/>
      <c r="O428" s="444"/>
      <c r="P428" s="444"/>
      <c r="Q428" s="444"/>
    </row>
    <row r="429" spans="6:17" ht="25.15" customHeight="1">
      <c r="F429" s="453"/>
      <c r="G429" s="444"/>
      <c r="H429" s="444"/>
      <c r="I429" s="444"/>
      <c r="J429" s="444"/>
      <c r="K429" s="444"/>
      <c r="L429" s="444"/>
      <c r="M429" s="444"/>
      <c r="N429" s="444"/>
      <c r="O429" s="444"/>
      <c r="P429" s="444"/>
      <c r="Q429" s="444"/>
    </row>
    <row r="430" spans="6:17" ht="25.15" customHeight="1">
      <c r="F430" s="453"/>
      <c r="G430" s="444"/>
      <c r="H430" s="444"/>
      <c r="I430" s="444"/>
      <c r="J430" s="444"/>
      <c r="K430" s="444"/>
      <c r="L430" s="444"/>
      <c r="M430" s="444"/>
      <c r="N430" s="444"/>
      <c r="O430" s="444"/>
      <c r="P430" s="444"/>
      <c r="Q430" s="444"/>
    </row>
    <row r="431" spans="6:17" ht="25.15" customHeight="1">
      <c r="F431" s="453"/>
      <c r="G431" s="444"/>
      <c r="H431" s="444"/>
      <c r="I431" s="444"/>
      <c r="J431" s="444"/>
      <c r="K431" s="444"/>
      <c r="L431" s="444"/>
      <c r="M431" s="444"/>
      <c r="N431" s="444"/>
      <c r="O431" s="444"/>
      <c r="P431" s="444"/>
      <c r="Q431" s="444"/>
    </row>
    <row r="432" spans="6:17" ht="25.15" customHeight="1">
      <c r="F432" s="453"/>
      <c r="G432" s="444"/>
      <c r="H432" s="444"/>
      <c r="I432" s="444"/>
      <c r="J432" s="444"/>
      <c r="K432" s="444"/>
      <c r="L432" s="444"/>
      <c r="M432" s="444"/>
      <c r="N432" s="444"/>
      <c r="O432" s="444"/>
      <c r="P432" s="444"/>
      <c r="Q432" s="444"/>
    </row>
    <row r="433" spans="6:17" ht="25.15" customHeight="1">
      <c r="F433" s="453"/>
      <c r="G433" s="444"/>
      <c r="H433" s="444"/>
      <c r="I433" s="444"/>
      <c r="J433" s="444"/>
      <c r="K433" s="444"/>
      <c r="L433" s="444"/>
      <c r="M433" s="444"/>
      <c r="N433" s="444"/>
      <c r="O433" s="444"/>
      <c r="P433" s="444"/>
      <c r="Q433" s="444"/>
    </row>
    <row r="434" spans="6:17" ht="25.15" customHeight="1">
      <c r="F434" s="453"/>
      <c r="G434" s="444"/>
      <c r="H434" s="444"/>
      <c r="I434" s="444"/>
      <c r="J434" s="444"/>
      <c r="K434" s="444"/>
      <c r="L434" s="444"/>
      <c r="M434" s="444"/>
      <c r="N434" s="444"/>
      <c r="O434" s="444"/>
      <c r="P434" s="444"/>
      <c r="Q434" s="444"/>
    </row>
    <row r="435" spans="6:17" ht="25.15" customHeight="1">
      <c r="F435" s="453"/>
      <c r="G435" s="444"/>
      <c r="H435" s="444"/>
      <c r="I435" s="444"/>
      <c r="J435" s="444"/>
      <c r="K435" s="444"/>
      <c r="L435" s="444"/>
      <c r="M435" s="444"/>
      <c r="N435" s="444"/>
      <c r="O435" s="444"/>
      <c r="P435" s="444"/>
      <c r="Q435" s="444"/>
    </row>
    <row r="436" spans="6:17" ht="25.15" customHeight="1">
      <c r="F436" s="453"/>
      <c r="G436" s="444"/>
      <c r="H436" s="444"/>
      <c r="I436" s="444"/>
      <c r="J436" s="444"/>
      <c r="K436" s="444"/>
      <c r="L436" s="444"/>
      <c r="M436" s="444"/>
      <c r="N436" s="444"/>
      <c r="O436" s="444"/>
      <c r="P436" s="444"/>
      <c r="Q436" s="444"/>
    </row>
    <row r="437" spans="6:17" ht="25.15" customHeight="1">
      <c r="F437" s="453"/>
      <c r="G437" s="444"/>
      <c r="H437" s="444"/>
      <c r="I437" s="444"/>
      <c r="J437" s="444"/>
      <c r="K437" s="444"/>
      <c r="L437" s="444"/>
      <c r="M437" s="444"/>
      <c r="N437" s="444"/>
      <c r="O437" s="444"/>
      <c r="P437" s="444"/>
      <c r="Q437" s="444"/>
    </row>
    <row r="438" spans="6:17" ht="25.15" customHeight="1">
      <c r="F438" s="453"/>
      <c r="G438" s="444"/>
      <c r="H438" s="444"/>
      <c r="I438" s="444"/>
      <c r="J438" s="444"/>
      <c r="K438" s="444"/>
      <c r="L438" s="444"/>
      <c r="M438" s="444"/>
      <c r="N438" s="444"/>
      <c r="O438" s="444"/>
      <c r="P438" s="444"/>
      <c r="Q438" s="444"/>
    </row>
    <row r="439" spans="6:17" ht="25.15" customHeight="1">
      <c r="F439" s="453"/>
      <c r="G439" s="444"/>
      <c r="H439" s="444"/>
      <c r="I439" s="444"/>
      <c r="J439" s="444"/>
      <c r="K439" s="444"/>
      <c r="L439" s="444"/>
      <c r="M439" s="444"/>
      <c r="N439" s="444"/>
      <c r="O439" s="444"/>
      <c r="P439" s="444"/>
      <c r="Q439" s="444"/>
    </row>
    <row r="440" spans="6:17" ht="25.15" customHeight="1">
      <c r="F440" s="453"/>
      <c r="G440" s="444"/>
      <c r="H440" s="444"/>
      <c r="I440" s="444"/>
      <c r="J440" s="444"/>
      <c r="K440" s="444"/>
      <c r="L440" s="444"/>
      <c r="M440" s="444"/>
      <c r="N440" s="444"/>
      <c r="O440" s="444"/>
      <c r="P440" s="444"/>
      <c r="Q440" s="444"/>
    </row>
    <row r="441" spans="6:17" ht="25.15" customHeight="1">
      <c r="F441" s="453"/>
      <c r="G441" s="444"/>
      <c r="H441" s="444"/>
      <c r="I441" s="444"/>
      <c r="J441" s="444"/>
      <c r="K441" s="444"/>
      <c r="L441" s="444"/>
      <c r="M441" s="444"/>
      <c r="N441" s="444"/>
      <c r="O441" s="444"/>
      <c r="P441" s="444"/>
      <c r="Q441" s="444"/>
    </row>
    <row r="442" spans="6:17" ht="25.15" customHeight="1">
      <c r="F442" s="453"/>
      <c r="G442" s="444"/>
      <c r="H442" s="444"/>
      <c r="I442" s="444"/>
      <c r="J442" s="444"/>
      <c r="K442" s="444"/>
      <c r="L442" s="444"/>
      <c r="M442" s="444"/>
      <c r="N442" s="444"/>
      <c r="O442" s="444"/>
      <c r="P442" s="444"/>
      <c r="Q442" s="444"/>
    </row>
    <row r="443" spans="6:17" ht="25.15" customHeight="1">
      <c r="F443" s="453"/>
      <c r="G443" s="444"/>
      <c r="H443" s="444"/>
      <c r="I443" s="444"/>
      <c r="J443" s="444"/>
      <c r="K443" s="444"/>
      <c r="L443" s="444"/>
      <c r="M443" s="444"/>
      <c r="N443" s="444"/>
      <c r="O443" s="444"/>
      <c r="P443" s="444"/>
      <c r="Q443" s="444"/>
    </row>
    <row r="444" spans="6:17" ht="25.15" customHeight="1">
      <c r="F444" s="453"/>
      <c r="G444" s="444"/>
      <c r="H444" s="444"/>
      <c r="I444" s="444"/>
      <c r="J444" s="444"/>
      <c r="K444" s="444"/>
      <c r="L444" s="444"/>
      <c r="M444" s="444"/>
      <c r="N444" s="444"/>
      <c r="O444" s="444"/>
      <c r="P444" s="444"/>
      <c r="Q444" s="444"/>
    </row>
    <row r="445" spans="6:17" ht="25.15" customHeight="1">
      <c r="F445" s="453"/>
      <c r="G445" s="444"/>
      <c r="H445" s="444"/>
      <c r="I445" s="444"/>
      <c r="J445" s="444"/>
      <c r="K445" s="444"/>
      <c r="L445" s="444"/>
      <c r="M445" s="444"/>
      <c r="N445" s="444"/>
      <c r="O445" s="444"/>
      <c r="P445" s="444"/>
      <c r="Q445" s="444"/>
    </row>
    <row r="446" spans="6:17" ht="25.15" customHeight="1">
      <c r="F446" s="453"/>
      <c r="G446" s="444"/>
      <c r="H446" s="444"/>
      <c r="I446" s="444"/>
      <c r="J446" s="444"/>
      <c r="K446" s="444"/>
      <c r="L446" s="444"/>
      <c r="M446" s="444"/>
      <c r="N446" s="444"/>
      <c r="O446" s="444"/>
      <c r="P446" s="444"/>
      <c r="Q446" s="444"/>
    </row>
    <row r="447" spans="6:17" ht="25.15" customHeight="1">
      <c r="F447" s="453"/>
      <c r="G447" s="444"/>
      <c r="H447" s="444"/>
      <c r="I447" s="444"/>
      <c r="J447" s="444"/>
      <c r="K447" s="444"/>
      <c r="L447" s="444"/>
      <c r="M447" s="444"/>
      <c r="N447" s="444"/>
      <c r="O447" s="444"/>
      <c r="P447" s="444"/>
      <c r="Q447" s="444"/>
    </row>
    <row r="448" spans="6:17" ht="25.15" customHeight="1">
      <c r="F448" s="453"/>
      <c r="G448" s="444"/>
      <c r="H448" s="444"/>
      <c r="I448" s="444"/>
      <c r="J448" s="444"/>
      <c r="K448" s="444"/>
      <c r="L448" s="444"/>
      <c r="M448" s="444"/>
      <c r="N448" s="444"/>
      <c r="O448" s="444"/>
      <c r="P448" s="444"/>
      <c r="Q448" s="444"/>
    </row>
    <row r="449" spans="6:17" ht="25.15" customHeight="1">
      <c r="F449" s="453"/>
      <c r="G449" s="444"/>
      <c r="H449" s="444"/>
      <c r="I449" s="444"/>
      <c r="J449" s="444"/>
      <c r="K449" s="444"/>
      <c r="L449" s="444"/>
      <c r="M449" s="444"/>
      <c r="N449" s="444"/>
      <c r="O449" s="444"/>
      <c r="P449" s="444"/>
      <c r="Q449" s="444"/>
    </row>
    <row r="450" spans="6:17" ht="25.15" customHeight="1">
      <c r="F450" s="453"/>
      <c r="G450" s="444"/>
      <c r="H450" s="444"/>
      <c r="I450" s="444"/>
      <c r="J450" s="444"/>
      <c r="K450" s="444"/>
      <c r="L450" s="444"/>
      <c r="M450" s="444"/>
      <c r="N450" s="444"/>
      <c r="O450" s="444"/>
      <c r="P450" s="444"/>
      <c r="Q450" s="444"/>
    </row>
    <row r="451" spans="6:17" ht="25.15" customHeight="1">
      <c r="F451" s="453"/>
      <c r="G451" s="444"/>
      <c r="H451" s="444"/>
      <c r="I451" s="444"/>
      <c r="J451" s="444"/>
      <c r="K451" s="444"/>
      <c r="L451" s="444"/>
      <c r="M451" s="444"/>
      <c r="N451" s="444"/>
      <c r="O451" s="444"/>
      <c r="P451" s="444"/>
      <c r="Q451" s="444"/>
    </row>
    <row r="452" spans="6:17" ht="25.15" customHeight="1">
      <c r="F452" s="453"/>
      <c r="G452" s="444"/>
      <c r="H452" s="444"/>
      <c r="I452" s="444"/>
      <c r="J452" s="444"/>
      <c r="K452" s="444"/>
      <c r="L452" s="444"/>
      <c r="M452" s="444"/>
      <c r="N452" s="444"/>
      <c r="O452" s="444"/>
      <c r="P452" s="444"/>
      <c r="Q452" s="444"/>
    </row>
    <row r="453" spans="6:17" ht="25.15" customHeight="1">
      <c r="F453" s="453"/>
      <c r="G453" s="444"/>
      <c r="H453" s="444"/>
      <c r="I453" s="444"/>
      <c r="J453" s="444"/>
      <c r="K453" s="444"/>
      <c r="L453" s="444"/>
      <c r="M453" s="444"/>
      <c r="N453" s="444"/>
      <c r="O453" s="444"/>
      <c r="P453" s="444"/>
      <c r="Q453" s="444"/>
    </row>
    <row r="454" spans="6:17" ht="25.15" customHeight="1">
      <c r="F454" s="453"/>
      <c r="G454" s="444"/>
      <c r="H454" s="444"/>
      <c r="I454" s="444"/>
      <c r="J454" s="444"/>
      <c r="K454" s="444"/>
      <c r="L454" s="444"/>
      <c r="M454" s="444"/>
      <c r="N454" s="444"/>
      <c r="O454" s="444"/>
      <c r="P454" s="444"/>
      <c r="Q454" s="444"/>
    </row>
    <row r="455" spans="6:17" ht="25.15" customHeight="1">
      <c r="F455" s="453"/>
      <c r="G455" s="444"/>
      <c r="H455" s="444"/>
      <c r="I455" s="444"/>
      <c r="J455" s="444"/>
      <c r="K455" s="444"/>
      <c r="L455" s="444"/>
      <c r="M455" s="444"/>
      <c r="N455" s="444"/>
      <c r="O455" s="444"/>
      <c r="P455" s="444"/>
      <c r="Q455" s="444"/>
    </row>
    <row r="456" spans="6:17" ht="25.15" customHeight="1">
      <c r="F456" s="453"/>
      <c r="G456" s="444"/>
      <c r="H456" s="444"/>
      <c r="I456" s="444"/>
      <c r="J456" s="444"/>
      <c r="K456" s="444"/>
      <c r="L456" s="444"/>
      <c r="M456" s="444"/>
      <c r="N456" s="444"/>
      <c r="O456" s="444"/>
      <c r="P456" s="444"/>
      <c r="Q456" s="444"/>
    </row>
    <row r="457" spans="6:17">
      <c r="F457" s="453"/>
      <c r="G457" s="444"/>
      <c r="H457" s="444"/>
      <c r="I457" s="444"/>
      <c r="J457" s="444"/>
      <c r="K457" s="444"/>
      <c r="L457" s="444"/>
      <c r="M457" s="444"/>
      <c r="N457" s="444"/>
      <c r="O457" s="444"/>
      <c r="P457" s="444"/>
      <c r="Q457" s="444"/>
    </row>
    <row r="458" spans="6:17">
      <c r="F458" s="453"/>
      <c r="G458" s="444"/>
      <c r="H458" s="444"/>
      <c r="I458" s="444"/>
      <c r="J458" s="444"/>
      <c r="K458" s="444"/>
      <c r="L458" s="444"/>
      <c r="M458" s="444"/>
      <c r="N458" s="444"/>
      <c r="O458" s="444"/>
      <c r="P458" s="444"/>
      <c r="Q458" s="444"/>
    </row>
    <row r="459" spans="6:17">
      <c r="F459" s="453"/>
      <c r="G459" s="444"/>
      <c r="H459" s="444"/>
      <c r="I459" s="444"/>
      <c r="J459" s="444"/>
      <c r="K459" s="444"/>
      <c r="L459" s="444"/>
      <c r="M459" s="444"/>
      <c r="N459" s="444"/>
      <c r="O459" s="444"/>
      <c r="P459" s="444"/>
      <c r="Q459" s="444"/>
    </row>
    <row r="460" spans="6:17">
      <c r="F460" s="453"/>
      <c r="G460" s="444"/>
      <c r="H460" s="444"/>
      <c r="I460" s="444"/>
      <c r="J460" s="444"/>
      <c r="K460" s="444"/>
      <c r="L460" s="444"/>
      <c r="M460" s="444"/>
      <c r="N460" s="444"/>
      <c r="O460" s="444"/>
      <c r="P460" s="444"/>
      <c r="Q460" s="444"/>
    </row>
    <row r="461" spans="6:17">
      <c r="F461" s="453"/>
      <c r="G461" s="444"/>
      <c r="H461" s="444"/>
      <c r="I461" s="444"/>
      <c r="J461" s="444"/>
      <c r="K461" s="444"/>
      <c r="L461" s="444"/>
      <c r="M461" s="444"/>
      <c r="N461" s="444"/>
      <c r="O461" s="444"/>
      <c r="P461" s="444"/>
      <c r="Q461" s="444"/>
    </row>
    <row r="462" spans="6:17">
      <c r="F462" s="453"/>
      <c r="G462" s="444"/>
      <c r="H462" s="444"/>
      <c r="I462" s="444"/>
      <c r="J462" s="444"/>
      <c r="K462" s="444"/>
      <c r="L462" s="444"/>
      <c r="M462" s="444"/>
      <c r="N462" s="444"/>
      <c r="O462" s="444"/>
      <c r="P462" s="444"/>
      <c r="Q462" s="444"/>
    </row>
    <row r="463" spans="6:17">
      <c r="F463" s="453"/>
      <c r="G463" s="444"/>
      <c r="H463" s="444"/>
      <c r="I463" s="444"/>
      <c r="J463" s="444"/>
      <c r="K463" s="444"/>
      <c r="L463" s="444"/>
      <c r="M463" s="444"/>
      <c r="N463" s="444"/>
      <c r="O463" s="444"/>
      <c r="P463" s="444"/>
      <c r="Q463" s="444"/>
    </row>
    <row r="464" spans="6:17">
      <c r="F464" s="453"/>
      <c r="G464" s="444"/>
      <c r="H464" s="444"/>
      <c r="I464" s="444"/>
      <c r="J464" s="444"/>
      <c r="K464" s="444"/>
      <c r="L464" s="444"/>
      <c r="M464" s="444"/>
      <c r="N464" s="444"/>
      <c r="O464" s="444"/>
      <c r="P464" s="444"/>
      <c r="Q464" s="444"/>
    </row>
    <row r="465" spans="6:17">
      <c r="F465" s="453"/>
      <c r="G465" s="444"/>
      <c r="H465" s="444"/>
      <c r="I465" s="444"/>
      <c r="J465" s="444"/>
      <c r="K465" s="444"/>
      <c r="L465" s="444"/>
      <c r="M465" s="444"/>
      <c r="N465" s="444"/>
      <c r="O465" s="444"/>
      <c r="P465" s="444"/>
      <c r="Q465" s="444"/>
    </row>
    <row r="466" spans="6:17">
      <c r="F466" s="453"/>
      <c r="G466" s="444"/>
      <c r="H466" s="444"/>
      <c r="I466" s="444"/>
      <c r="J466" s="444"/>
      <c r="K466" s="444"/>
      <c r="L466" s="444"/>
      <c r="M466" s="444"/>
      <c r="N466" s="444"/>
      <c r="O466" s="444"/>
      <c r="P466" s="444"/>
      <c r="Q466" s="444"/>
    </row>
    <row r="467" spans="6:17">
      <c r="F467" s="453"/>
      <c r="G467" s="444"/>
      <c r="H467" s="444"/>
      <c r="I467" s="444"/>
      <c r="J467" s="444"/>
      <c r="K467" s="444"/>
      <c r="L467" s="444"/>
      <c r="M467" s="444"/>
      <c r="N467" s="444"/>
      <c r="O467" s="444"/>
      <c r="P467" s="444"/>
      <c r="Q467" s="444"/>
    </row>
    <row r="468" spans="6:17">
      <c r="F468" s="453"/>
      <c r="G468" s="444"/>
      <c r="H468" s="444"/>
      <c r="I468" s="444"/>
      <c r="J468" s="444"/>
      <c r="K468" s="444"/>
      <c r="L468" s="444"/>
      <c r="M468" s="444"/>
      <c r="N468" s="444"/>
      <c r="O468" s="444"/>
      <c r="P468" s="444"/>
      <c r="Q468" s="444"/>
    </row>
    <row r="469" spans="6:17">
      <c r="F469" s="453"/>
      <c r="G469" s="444"/>
      <c r="H469" s="444"/>
      <c r="I469" s="444"/>
      <c r="J469" s="444"/>
      <c r="K469" s="444"/>
      <c r="L469" s="444"/>
      <c r="M469" s="444"/>
      <c r="N469" s="444"/>
      <c r="O469" s="444"/>
      <c r="P469" s="444"/>
      <c r="Q469" s="444"/>
    </row>
    <row r="470" spans="6:17">
      <c r="F470" s="453"/>
      <c r="G470" s="444"/>
      <c r="H470" s="444"/>
      <c r="I470" s="444"/>
      <c r="J470" s="444"/>
      <c r="K470" s="444"/>
      <c r="L470" s="444"/>
      <c r="M470" s="444"/>
      <c r="N470" s="444"/>
      <c r="O470" s="444"/>
      <c r="P470" s="444"/>
      <c r="Q470" s="444"/>
    </row>
    <row r="471" spans="6:17">
      <c r="F471" s="453"/>
      <c r="G471" s="444"/>
      <c r="H471" s="444"/>
      <c r="I471" s="444"/>
      <c r="J471" s="444"/>
      <c r="K471" s="444"/>
      <c r="L471" s="444"/>
      <c r="M471" s="444"/>
      <c r="N471" s="444"/>
      <c r="O471" s="444"/>
      <c r="P471" s="444"/>
      <c r="Q471" s="444"/>
    </row>
    <row r="472" spans="6:17">
      <c r="F472" s="453"/>
      <c r="G472" s="444"/>
      <c r="H472" s="444"/>
      <c r="I472" s="444"/>
      <c r="J472" s="444"/>
      <c r="K472" s="444"/>
      <c r="L472" s="444"/>
      <c r="M472" s="444"/>
      <c r="N472" s="444"/>
      <c r="O472" s="444"/>
      <c r="P472" s="444"/>
      <c r="Q472" s="444"/>
    </row>
    <row r="473" spans="6:17">
      <c r="F473" s="453"/>
      <c r="G473" s="444"/>
      <c r="H473" s="444"/>
      <c r="I473" s="444"/>
      <c r="J473" s="444"/>
      <c r="K473" s="444"/>
      <c r="L473" s="444"/>
      <c r="M473" s="444"/>
      <c r="N473" s="444"/>
      <c r="O473" s="444"/>
      <c r="P473" s="444"/>
      <c r="Q473" s="444"/>
    </row>
    <row r="474" spans="6:17">
      <c r="F474" s="453"/>
      <c r="G474" s="444"/>
      <c r="H474" s="444"/>
      <c r="I474" s="444"/>
      <c r="J474" s="444"/>
      <c r="K474" s="444"/>
      <c r="L474" s="444"/>
      <c r="M474" s="444"/>
      <c r="N474" s="444"/>
      <c r="O474" s="444"/>
      <c r="P474" s="444"/>
      <c r="Q474" s="444"/>
    </row>
    <row r="475" spans="6:17">
      <c r="F475" s="453"/>
      <c r="G475" s="444"/>
      <c r="H475" s="444"/>
      <c r="I475" s="444"/>
      <c r="J475" s="444"/>
      <c r="K475" s="444"/>
      <c r="L475" s="444"/>
      <c r="M475" s="444"/>
      <c r="N475" s="444"/>
      <c r="O475" s="444"/>
      <c r="P475" s="444"/>
      <c r="Q475" s="444"/>
    </row>
    <row r="476" spans="6:17">
      <c r="F476" s="453"/>
      <c r="G476" s="444"/>
      <c r="H476" s="444"/>
      <c r="I476" s="444"/>
      <c r="J476" s="444"/>
      <c r="K476" s="444"/>
      <c r="L476" s="444"/>
      <c r="M476" s="444"/>
      <c r="N476" s="444"/>
      <c r="O476" s="444"/>
      <c r="P476" s="444"/>
      <c r="Q476" s="444"/>
    </row>
    <row r="477" spans="6:17">
      <c r="F477" s="453"/>
      <c r="G477" s="444"/>
      <c r="H477" s="444"/>
      <c r="I477" s="444"/>
      <c r="J477" s="444"/>
      <c r="K477" s="444"/>
      <c r="L477" s="444"/>
      <c r="M477" s="444"/>
      <c r="N477" s="444"/>
      <c r="O477" s="444"/>
      <c r="P477" s="444"/>
      <c r="Q477" s="444"/>
    </row>
    <row r="478" spans="6:17">
      <c r="F478" s="453"/>
      <c r="G478" s="444"/>
      <c r="H478" s="444"/>
      <c r="I478" s="444"/>
      <c r="J478" s="444"/>
      <c r="K478" s="444"/>
      <c r="L478" s="444"/>
      <c r="M478" s="444"/>
      <c r="N478" s="444"/>
      <c r="O478" s="444"/>
      <c r="P478" s="444"/>
      <c r="Q478" s="444"/>
    </row>
    <row r="479" spans="6:17">
      <c r="F479" s="453"/>
      <c r="G479" s="444"/>
      <c r="H479" s="444"/>
      <c r="I479" s="444"/>
      <c r="J479" s="444"/>
      <c r="K479" s="444"/>
      <c r="L479" s="444"/>
      <c r="M479" s="444"/>
      <c r="N479" s="444"/>
      <c r="O479" s="444"/>
      <c r="P479" s="444"/>
      <c r="Q479" s="444"/>
    </row>
    <row r="480" spans="6:17">
      <c r="F480" s="453"/>
      <c r="G480" s="444"/>
      <c r="H480" s="444"/>
      <c r="I480" s="444"/>
      <c r="J480" s="444"/>
      <c r="K480" s="444"/>
      <c r="L480" s="444"/>
      <c r="M480" s="444"/>
      <c r="N480" s="444"/>
      <c r="O480" s="444"/>
      <c r="P480" s="444"/>
      <c r="Q480" s="444"/>
    </row>
    <row r="481" spans="6:17">
      <c r="F481" s="453"/>
      <c r="G481" s="444"/>
      <c r="H481" s="444"/>
      <c r="I481" s="444"/>
      <c r="J481" s="444"/>
      <c r="K481" s="444"/>
      <c r="L481" s="444"/>
      <c r="M481" s="444"/>
      <c r="N481" s="444"/>
      <c r="O481" s="444"/>
      <c r="P481" s="444"/>
      <c r="Q481" s="444"/>
    </row>
    <row r="482" spans="6:17">
      <c r="F482" s="453"/>
      <c r="G482" s="444"/>
      <c r="H482" s="444"/>
      <c r="I482" s="444"/>
      <c r="J482" s="444"/>
      <c r="K482" s="444"/>
      <c r="L482" s="444"/>
      <c r="M482" s="444"/>
      <c r="N482" s="444"/>
      <c r="O482" s="444"/>
      <c r="P482" s="444"/>
      <c r="Q482" s="444"/>
    </row>
    <row r="483" spans="6:17">
      <c r="F483" s="453"/>
      <c r="G483" s="444"/>
      <c r="H483" s="444"/>
      <c r="I483" s="444"/>
      <c r="J483" s="444"/>
      <c r="K483" s="444"/>
      <c r="L483" s="444"/>
      <c r="M483" s="444"/>
      <c r="N483" s="444"/>
      <c r="O483" s="444"/>
      <c r="P483" s="444"/>
      <c r="Q483" s="444"/>
    </row>
    <row r="484" spans="6:17">
      <c r="F484" s="453"/>
      <c r="G484" s="444"/>
      <c r="H484" s="444"/>
      <c r="I484" s="444"/>
      <c r="J484" s="444"/>
      <c r="K484" s="444"/>
      <c r="L484" s="444"/>
      <c r="M484" s="444"/>
      <c r="N484" s="444"/>
      <c r="O484" s="444"/>
      <c r="P484" s="444"/>
      <c r="Q484" s="444"/>
    </row>
    <row r="485" spans="6:17">
      <c r="F485" s="453"/>
      <c r="G485" s="444"/>
      <c r="H485" s="444"/>
      <c r="I485" s="444"/>
      <c r="J485" s="444"/>
      <c r="K485" s="444"/>
      <c r="L485" s="444"/>
      <c r="M485" s="444"/>
      <c r="N485" s="444"/>
      <c r="O485" s="444"/>
      <c r="P485" s="444"/>
      <c r="Q485" s="444"/>
    </row>
    <row r="486" spans="6:17">
      <c r="F486" s="453"/>
      <c r="G486" s="444"/>
      <c r="H486" s="444"/>
      <c r="I486" s="444"/>
      <c r="J486" s="444"/>
      <c r="K486" s="444"/>
      <c r="L486" s="444"/>
      <c r="M486" s="444"/>
      <c r="N486" s="444"/>
      <c r="O486" s="444"/>
      <c r="P486" s="444"/>
      <c r="Q486" s="444"/>
    </row>
    <row r="487" spans="6:17">
      <c r="F487" s="453"/>
      <c r="G487" s="444"/>
      <c r="H487" s="444"/>
      <c r="I487" s="444"/>
      <c r="J487" s="444"/>
      <c r="K487" s="444"/>
      <c r="L487" s="444"/>
      <c r="M487" s="444"/>
      <c r="N487" s="444"/>
      <c r="O487" s="444"/>
      <c r="P487" s="444"/>
      <c r="Q487" s="444"/>
    </row>
    <row r="488" spans="6:17">
      <c r="F488" s="453"/>
      <c r="G488" s="444"/>
      <c r="H488" s="444"/>
      <c r="I488" s="444"/>
      <c r="J488" s="444"/>
      <c r="K488" s="444"/>
      <c r="L488" s="444"/>
      <c r="M488" s="444"/>
      <c r="N488" s="444"/>
      <c r="O488" s="444"/>
      <c r="P488" s="444"/>
      <c r="Q488" s="444"/>
    </row>
    <row r="489" spans="6:17">
      <c r="F489" s="453"/>
      <c r="G489" s="444"/>
      <c r="H489" s="444"/>
      <c r="I489" s="444"/>
      <c r="J489" s="444"/>
      <c r="K489" s="444"/>
      <c r="L489" s="444"/>
      <c r="M489" s="444"/>
      <c r="N489" s="444"/>
      <c r="O489" s="444"/>
      <c r="P489" s="444"/>
      <c r="Q489" s="444"/>
    </row>
    <row r="490" spans="6:17">
      <c r="F490" s="453"/>
      <c r="G490" s="444"/>
      <c r="H490" s="444"/>
      <c r="I490" s="444"/>
      <c r="J490" s="444"/>
      <c r="K490" s="444"/>
      <c r="L490" s="444"/>
      <c r="M490" s="444"/>
      <c r="N490" s="444"/>
      <c r="O490" s="444"/>
      <c r="P490" s="444"/>
      <c r="Q490" s="444"/>
    </row>
    <row r="491" spans="6:17">
      <c r="F491" s="453"/>
      <c r="G491" s="444"/>
      <c r="H491" s="444"/>
      <c r="I491" s="444"/>
      <c r="J491" s="444"/>
      <c r="K491" s="444"/>
      <c r="L491" s="444"/>
      <c r="M491" s="444"/>
      <c r="N491" s="444"/>
      <c r="O491" s="444"/>
      <c r="P491" s="444"/>
      <c r="Q491" s="444"/>
    </row>
    <row r="492" spans="6:17">
      <c r="F492" s="453"/>
      <c r="G492" s="444"/>
      <c r="H492" s="444"/>
      <c r="I492" s="444"/>
      <c r="J492" s="444"/>
      <c r="K492" s="444"/>
      <c r="L492" s="444"/>
      <c r="M492" s="444"/>
      <c r="N492" s="444"/>
      <c r="O492" s="444"/>
      <c r="P492" s="444"/>
      <c r="Q492" s="444"/>
    </row>
    <row r="493" spans="6:17">
      <c r="F493" s="453"/>
      <c r="G493" s="444"/>
      <c r="H493" s="444"/>
      <c r="I493" s="444"/>
      <c r="J493" s="444"/>
      <c r="K493" s="444"/>
      <c r="L493" s="444"/>
      <c r="M493" s="444"/>
      <c r="N493" s="444"/>
      <c r="O493" s="444"/>
      <c r="P493" s="444"/>
      <c r="Q493" s="444"/>
    </row>
    <row r="494" spans="6:17">
      <c r="F494" s="453"/>
      <c r="G494" s="444"/>
      <c r="H494" s="444"/>
      <c r="I494" s="444"/>
      <c r="J494" s="444"/>
      <c r="K494" s="444"/>
      <c r="L494" s="444"/>
      <c r="M494" s="444"/>
      <c r="N494" s="444"/>
      <c r="O494" s="444"/>
      <c r="P494" s="444"/>
      <c r="Q494" s="444"/>
    </row>
    <row r="495" spans="6:17">
      <c r="F495" s="453"/>
      <c r="G495" s="444"/>
      <c r="H495" s="444"/>
      <c r="I495" s="444"/>
      <c r="J495" s="444"/>
      <c r="K495" s="444"/>
      <c r="L495" s="444"/>
      <c r="M495" s="444"/>
      <c r="N495" s="444"/>
      <c r="O495" s="444"/>
      <c r="P495" s="444"/>
      <c r="Q495" s="444"/>
    </row>
    <row r="496" spans="6:17">
      <c r="F496" s="453"/>
      <c r="G496" s="444"/>
      <c r="H496" s="444"/>
      <c r="I496" s="444"/>
      <c r="J496" s="444"/>
      <c r="K496" s="444"/>
      <c r="L496" s="444"/>
      <c r="M496" s="444"/>
      <c r="N496" s="444"/>
      <c r="O496" s="444"/>
      <c r="P496" s="444"/>
      <c r="Q496" s="444"/>
    </row>
    <row r="497" spans="6:17">
      <c r="F497" s="453"/>
      <c r="G497" s="444"/>
      <c r="H497" s="444"/>
      <c r="I497" s="444"/>
      <c r="J497" s="444"/>
      <c r="K497" s="444"/>
      <c r="L497" s="444"/>
      <c r="M497" s="444"/>
      <c r="N497" s="444"/>
      <c r="O497" s="444"/>
      <c r="P497" s="444"/>
      <c r="Q497" s="444"/>
    </row>
    <row r="498" spans="6:17">
      <c r="F498" s="453"/>
      <c r="G498" s="444"/>
      <c r="H498" s="444"/>
      <c r="I498" s="444"/>
      <c r="J498" s="444"/>
      <c r="K498" s="444"/>
      <c r="L498" s="444"/>
      <c r="M498" s="444"/>
      <c r="N498" s="444"/>
      <c r="O498" s="444"/>
      <c r="P498" s="444"/>
      <c r="Q498" s="444"/>
    </row>
    <row r="499" spans="6:17">
      <c r="F499" s="453"/>
      <c r="G499" s="444"/>
      <c r="H499" s="444"/>
      <c r="I499" s="444"/>
      <c r="J499" s="444"/>
      <c r="K499" s="444"/>
      <c r="L499" s="444"/>
      <c r="M499" s="444"/>
      <c r="N499" s="444"/>
      <c r="O499" s="444"/>
      <c r="P499" s="444"/>
      <c r="Q499" s="444"/>
    </row>
    <row r="500" spans="6:17">
      <c r="F500" s="453"/>
      <c r="G500" s="444"/>
      <c r="H500" s="444"/>
      <c r="I500" s="444"/>
      <c r="J500" s="444"/>
      <c r="K500" s="444"/>
      <c r="L500" s="444"/>
      <c r="M500" s="444"/>
      <c r="N500" s="444"/>
      <c r="O500" s="444"/>
      <c r="P500" s="444"/>
      <c r="Q500" s="444"/>
    </row>
    <row r="501" spans="6:17">
      <c r="F501" s="453"/>
      <c r="G501" s="444"/>
      <c r="H501" s="444"/>
      <c r="I501" s="444"/>
      <c r="J501" s="444"/>
      <c r="K501" s="444"/>
      <c r="L501" s="444"/>
      <c r="M501" s="444"/>
      <c r="N501" s="444"/>
      <c r="O501" s="444"/>
      <c r="P501" s="444"/>
      <c r="Q501" s="444"/>
    </row>
    <row r="502" spans="6:17">
      <c r="F502" s="453"/>
      <c r="G502" s="444"/>
      <c r="H502" s="444"/>
      <c r="I502" s="444"/>
      <c r="J502" s="444"/>
      <c r="K502" s="444"/>
      <c r="L502" s="444"/>
      <c r="M502" s="444"/>
      <c r="N502" s="444"/>
      <c r="O502" s="444"/>
      <c r="P502" s="444"/>
      <c r="Q502" s="444"/>
    </row>
    <row r="503" spans="6:17">
      <c r="F503" s="453"/>
      <c r="G503" s="444"/>
      <c r="H503" s="444"/>
      <c r="I503" s="444"/>
      <c r="J503" s="444"/>
      <c r="K503" s="444"/>
      <c r="L503" s="444"/>
      <c r="M503" s="444"/>
      <c r="N503" s="444"/>
      <c r="O503" s="444"/>
      <c r="P503" s="444"/>
      <c r="Q503" s="444"/>
    </row>
    <row r="504" spans="6:17">
      <c r="F504" s="453"/>
      <c r="G504" s="444"/>
      <c r="H504" s="444"/>
      <c r="I504" s="444"/>
      <c r="J504" s="444"/>
      <c r="K504" s="444"/>
      <c r="L504" s="444"/>
      <c r="M504" s="444"/>
      <c r="N504" s="444"/>
      <c r="O504" s="444"/>
      <c r="P504" s="444"/>
      <c r="Q504" s="444"/>
    </row>
    <row r="505" spans="6:17">
      <c r="F505" s="453"/>
      <c r="G505" s="444"/>
      <c r="H505" s="444"/>
      <c r="I505" s="444"/>
      <c r="J505" s="444"/>
      <c r="K505" s="444"/>
      <c r="L505" s="444"/>
      <c r="M505" s="444"/>
      <c r="N505" s="444"/>
      <c r="O505" s="444"/>
      <c r="P505" s="444"/>
      <c r="Q505" s="444"/>
    </row>
    <row r="506" spans="6:17">
      <c r="F506" s="453"/>
      <c r="G506" s="444"/>
      <c r="H506" s="444"/>
      <c r="I506" s="444"/>
      <c r="J506" s="444"/>
      <c r="K506" s="444"/>
      <c r="L506" s="444"/>
      <c r="M506" s="444"/>
      <c r="N506" s="444"/>
      <c r="O506" s="444"/>
      <c r="P506" s="444"/>
      <c r="Q506" s="444"/>
    </row>
    <row r="507" spans="6:17">
      <c r="F507" s="453"/>
      <c r="G507" s="444"/>
      <c r="H507" s="444"/>
      <c r="I507" s="444"/>
      <c r="J507" s="444"/>
      <c r="K507" s="444"/>
      <c r="L507" s="444"/>
      <c r="M507" s="444"/>
      <c r="N507" s="444"/>
      <c r="O507" s="444"/>
      <c r="P507" s="444"/>
      <c r="Q507" s="444"/>
    </row>
    <row r="508" spans="6:17">
      <c r="F508" s="453"/>
      <c r="G508" s="444"/>
      <c r="H508" s="444"/>
      <c r="I508" s="444"/>
      <c r="J508" s="444"/>
      <c r="K508" s="444"/>
      <c r="L508" s="444"/>
      <c r="M508" s="444"/>
      <c r="N508" s="444"/>
      <c r="O508" s="444"/>
      <c r="P508" s="444"/>
      <c r="Q508" s="444"/>
    </row>
    <row r="509" spans="6:17">
      <c r="F509" s="453"/>
      <c r="G509" s="444"/>
      <c r="H509" s="444"/>
      <c r="I509" s="444"/>
      <c r="J509" s="444"/>
      <c r="K509" s="444"/>
      <c r="L509" s="444"/>
      <c r="M509" s="444"/>
      <c r="N509" s="444"/>
      <c r="O509" s="444"/>
      <c r="P509" s="444"/>
      <c r="Q509" s="444"/>
    </row>
    <row r="510" spans="6:17">
      <c r="F510" s="453"/>
      <c r="G510" s="444"/>
      <c r="H510" s="444"/>
      <c r="I510" s="444"/>
      <c r="J510" s="444"/>
      <c r="K510" s="444"/>
      <c r="L510" s="444"/>
      <c r="M510" s="444"/>
      <c r="N510" s="444"/>
      <c r="O510" s="444"/>
      <c r="P510" s="444"/>
      <c r="Q510" s="444"/>
    </row>
    <row r="511" spans="6:17">
      <c r="F511" s="453"/>
      <c r="G511" s="444"/>
      <c r="H511" s="444"/>
      <c r="I511" s="444"/>
      <c r="J511" s="444"/>
      <c r="K511" s="444"/>
      <c r="L511" s="444"/>
      <c r="M511" s="444"/>
      <c r="N511" s="444"/>
      <c r="O511" s="444"/>
      <c r="P511" s="444"/>
      <c r="Q511" s="444"/>
    </row>
    <row r="512" spans="6:17">
      <c r="F512" s="453"/>
      <c r="G512" s="444"/>
      <c r="H512" s="444"/>
      <c r="I512" s="444"/>
      <c r="J512" s="444"/>
      <c r="K512" s="444"/>
      <c r="L512" s="444"/>
      <c r="M512" s="444"/>
      <c r="N512" s="444"/>
      <c r="O512" s="444"/>
      <c r="P512" s="444"/>
      <c r="Q512" s="444"/>
    </row>
    <row r="513" spans="6:17">
      <c r="F513" s="453"/>
      <c r="G513" s="444"/>
      <c r="H513" s="444"/>
      <c r="I513" s="444"/>
      <c r="J513" s="444"/>
      <c r="K513" s="444"/>
      <c r="L513" s="444"/>
      <c r="M513" s="444"/>
      <c r="N513" s="444"/>
      <c r="O513" s="444"/>
      <c r="P513" s="444"/>
      <c r="Q513" s="444"/>
    </row>
    <row r="514" spans="6:17">
      <c r="F514" s="453"/>
      <c r="G514" s="444"/>
      <c r="H514" s="444"/>
      <c r="I514" s="444"/>
      <c r="J514" s="444"/>
      <c r="K514" s="444"/>
      <c r="L514" s="444"/>
      <c r="M514" s="444"/>
      <c r="N514" s="444"/>
      <c r="O514" s="444"/>
      <c r="P514" s="444"/>
      <c r="Q514" s="444"/>
    </row>
    <row r="515" spans="6:17">
      <c r="F515" s="453"/>
      <c r="G515" s="444"/>
      <c r="H515" s="444"/>
      <c r="I515" s="444"/>
      <c r="J515" s="444"/>
      <c r="K515" s="444"/>
      <c r="L515" s="444"/>
      <c r="M515" s="444"/>
      <c r="N515" s="444"/>
      <c r="O515" s="444"/>
      <c r="P515" s="444"/>
      <c r="Q515" s="444"/>
    </row>
    <row r="516" spans="6:17">
      <c r="F516" s="453"/>
      <c r="G516" s="444"/>
      <c r="H516" s="444"/>
      <c r="I516" s="444"/>
      <c r="J516" s="444"/>
      <c r="K516" s="444"/>
      <c r="L516" s="444"/>
      <c r="M516" s="444"/>
      <c r="N516" s="444"/>
      <c r="O516" s="444"/>
      <c r="P516" s="444"/>
      <c r="Q516" s="444"/>
    </row>
    <row r="517" spans="6:17">
      <c r="F517" s="453"/>
      <c r="G517" s="444"/>
      <c r="H517" s="444"/>
      <c r="I517" s="444"/>
      <c r="J517" s="444"/>
      <c r="K517" s="444"/>
      <c r="L517" s="444"/>
      <c r="M517" s="444"/>
      <c r="N517" s="444"/>
      <c r="O517" s="444"/>
      <c r="P517" s="444"/>
      <c r="Q517" s="444"/>
    </row>
    <row r="518" spans="6:17">
      <c r="F518" s="453"/>
      <c r="G518" s="444"/>
      <c r="H518" s="444"/>
      <c r="I518" s="444"/>
      <c r="J518" s="444"/>
      <c r="K518" s="444"/>
      <c r="L518" s="444"/>
      <c r="M518" s="444"/>
      <c r="N518" s="444"/>
      <c r="O518" s="444"/>
      <c r="P518" s="444"/>
      <c r="Q518" s="444"/>
    </row>
    <row r="519" spans="6:17">
      <c r="F519" s="453"/>
      <c r="G519" s="444"/>
      <c r="H519" s="444"/>
      <c r="I519" s="444"/>
      <c r="J519" s="444"/>
      <c r="K519" s="444"/>
      <c r="L519" s="444"/>
      <c r="M519" s="444"/>
      <c r="N519" s="444"/>
      <c r="O519" s="444"/>
      <c r="P519" s="444"/>
      <c r="Q519" s="444"/>
    </row>
    <row r="520" spans="6:17">
      <c r="F520" s="453"/>
      <c r="G520" s="444"/>
      <c r="H520" s="444"/>
      <c r="I520" s="444"/>
      <c r="J520" s="444"/>
      <c r="K520" s="444"/>
      <c r="L520" s="444"/>
      <c r="M520" s="444"/>
      <c r="N520" s="444"/>
      <c r="O520" s="444"/>
      <c r="P520" s="444"/>
      <c r="Q520" s="444"/>
    </row>
    <row r="521" spans="6:17">
      <c r="F521" s="453"/>
      <c r="G521" s="444"/>
      <c r="H521" s="444"/>
      <c r="I521" s="444"/>
      <c r="J521" s="444"/>
      <c r="K521" s="444"/>
      <c r="L521" s="444"/>
      <c r="M521" s="444"/>
      <c r="N521" s="444"/>
      <c r="O521" s="444"/>
      <c r="P521" s="444"/>
      <c r="Q521" s="444"/>
    </row>
    <row r="522" spans="6:17">
      <c r="F522" s="453"/>
      <c r="G522" s="444"/>
      <c r="H522" s="444"/>
      <c r="I522" s="444"/>
      <c r="J522" s="444"/>
      <c r="K522" s="444"/>
      <c r="L522" s="444"/>
      <c r="M522" s="444"/>
      <c r="N522" s="444"/>
      <c r="O522" s="444"/>
      <c r="P522" s="444"/>
      <c r="Q522" s="444"/>
    </row>
    <row r="523" spans="6:17">
      <c r="F523" s="453"/>
      <c r="G523" s="444"/>
      <c r="H523" s="444"/>
      <c r="I523" s="444"/>
      <c r="J523" s="444"/>
      <c r="K523" s="444"/>
      <c r="L523" s="444"/>
      <c r="M523" s="444"/>
      <c r="N523" s="444"/>
      <c r="O523" s="444"/>
      <c r="P523" s="444"/>
      <c r="Q523" s="444"/>
    </row>
    <row r="524" spans="6:17">
      <c r="F524" s="453"/>
      <c r="G524" s="444"/>
      <c r="H524" s="444"/>
      <c r="I524" s="444"/>
      <c r="J524" s="444"/>
      <c r="K524" s="444"/>
      <c r="L524" s="444"/>
      <c r="M524" s="444"/>
      <c r="N524" s="444"/>
      <c r="O524" s="444"/>
      <c r="P524" s="444"/>
      <c r="Q524" s="444"/>
    </row>
    <row r="525" spans="6:17">
      <c r="F525" s="453"/>
      <c r="G525" s="444"/>
      <c r="H525" s="444"/>
      <c r="I525" s="444"/>
      <c r="J525" s="444"/>
      <c r="K525" s="444"/>
      <c r="L525" s="444"/>
      <c r="M525" s="444"/>
      <c r="N525" s="444"/>
      <c r="O525" s="444"/>
      <c r="P525" s="444"/>
      <c r="Q525" s="444"/>
    </row>
    <row r="526" spans="6:17">
      <c r="F526" s="453"/>
      <c r="G526" s="444"/>
      <c r="H526" s="444"/>
      <c r="I526" s="444"/>
      <c r="J526" s="444"/>
      <c r="K526" s="444"/>
      <c r="L526" s="444"/>
      <c r="M526" s="444"/>
      <c r="N526" s="444"/>
      <c r="O526" s="444"/>
      <c r="P526" s="444"/>
      <c r="Q526" s="444"/>
    </row>
    <row r="527" spans="6:17">
      <c r="F527" s="453"/>
      <c r="G527" s="444"/>
      <c r="H527" s="444"/>
      <c r="I527" s="444"/>
      <c r="J527" s="444"/>
      <c r="K527" s="444"/>
      <c r="L527" s="444"/>
      <c r="M527" s="444"/>
      <c r="N527" s="444"/>
      <c r="O527" s="444"/>
      <c r="P527" s="444"/>
      <c r="Q527" s="444"/>
    </row>
    <row r="528" spans="6:17">
      <c r="F528" s="453"/>
      <c r="G528" s="444"/>
      <c r="H528" s="444"/>
      <c r="I528" s="444"/>
      <c r="J528" s="444"/>
      <c r="K528" s="444"/>
      <c r="L528" s="444"/>
      <c r="M528" s="444"/>
      <c r="N528" s="444"/>
      <c r="O528" s="444"/>
      <c r="P528" s="444"/>
      <c r="Q528" s="444"/>
    </row>
    <row r="529" spans="6:17">
      <c r="F529" s="453"/>
      <c r="G529" s="444"/>
      <c r="H529" s="444"/>
      <c r="I529" s="444"/>
      <c r="J529" s="444"/>
      <c r="K529" s="444"/>
      <c r="L529" s="444"/>
      <c r="M529" s="444"/>
      <c r="N529" s="444"/>
      <c r="O529" s="444"/>
      <c r="P529" s="444"/>
      <c r="Q529" s="444"/>
    </row>
    <row r="530" spans="6:17">
      <c r="F530" s="453"/>
      <c r="G530" s="444"/>
      <c r="H530" s="444"/>
      <c r="I530" s="444"/>
      <c r="J530" s="444"/>
      <c r="K530" s="444"/>
      <c r="L530" s="444"/>
      <c r="M530" s="444"/>
      <c r="N530" s="444"/>
      <c r="O530" s="444"/>
      <c r="P530" s="444"/>
      <c r="Q530" s="444"/>
    </row>
    <row r="531" spans="6:17">
      <c r="F531" s="453"/>
      <c r="G531" s="444"/>
      <c r="H531" s="444"/>
      <c r="I531" s="444"/>
      <c r="J531" s="444"/>
      <c r="K531" s="444"/>
      <c r="L531" s="444"/>
      <c r="M531" s="444"/>
      <c r="N531" s="444"/>
      <c r="O531" s="444"/>
      <c r="P531" s="444"/>
      <c r="Q531" s="444"/>
    </row>
    <row r="532" spans="6:17">
      <c r="F532" s="453"/>
      <c r="G532" s="444"/>
      <c r="H532" s="444"/>
      <c r="I532" s="444"/>
      <c r="J532" s="444"/>
      <c r="K532" s="444"/>
      <c r="L532" s="444"/>
      <c r="M532" s="444"/>
      <c r="N532" s="444"/>
      <c r="O532" s="444"/>
      <c r="P532" s="444"/>
      <c r="Q532" s="444"/>
    </row>
    <row r="533" spans="6:17">
      <c r="F533" s="453"/>
      <c r="G533" s="444"/>
      <c r="H533" s="444"/>
      <c r="I533" s="444"/>
      <c r="J533" s="444"/>
      <c r="K533" s="444"/>
      <c r="L533" s="444"/>
      <c r="M533" s="444"/>
      <c r="N533" s="444"/>
      <c r="O533" s="444"/>
      <c r="P533" s="444"/>
      <c r="Q533" s="444"/>
    </row>
    <row r="534" spans="6:17">
      <c r="F534" s="453"/>
      <c r="G534" s="444"/>
      <c r="H534" s="444"/>
      <c r="I534" s="444"/>
      <c r="J534" s="444"/>
      <c r="K534" s="444"/>
      <c r="L534" s="444"/>
      <c r="M534" s="444"/>
      <c r="N534" s="444"/>
      <c r="O534" s="444"/>
      <c r="P534" s="444"/>
      <c r="Q534" s="444"/>
    </row>
    <row r="535" spans="6:17">
      <c r="F535" s="453"/>
      <c r="G535" s="444"/>
      <c r="H535" s="444"/>
      <c r="I535" s="444"/>
      <c r="J535" s="444"/>
      <c r="K535" s="444"/>
      <c r="L535" s="444"/>
      <c r="M535" s="444"/>
      <c r="N535" s="444"/>
      <c r="O535" s="444"/>
      <c r="P535" s="444"/>
      <c r="Q535" s="444"/>
    </row>
    <row r="536" spans="6:17">
      <c r="F536" s="453"/>
      <c r="G536" s="444"/>
      <c r="H536" s="444"/>
      <c r="I536" s="444"/>
      <c r="J536" s="444"/>
      <c r="K536" s="444"/>
      <c r="L536" s="444"/>
      <c r="M536" s="444"/>
      <c r="N536" s="444"/>
      <c r="O536" s="444"/>
      <c r="P536" s="444"/>
      <c r="Q536" s="444"/>
    </row>
    <row r="537" spans="6:17">
      <c r="F537" s="453"/>
      <c r="G537" s="444"/>
      <c r="H537" s="444"/>
      <c r="I537" s="444"/>
      <c r="J537" s="444"/>
      <c r="K537" s="444"/>
      <c r="L537" s="444"/>
      <c r="M537" s="444"/>
      <c r="N537" s="444"/>
      <c r="O537" s="444"/>
      <c r="P537" s="444"/>
      <c r="Q537" s="444"/>
    </row>
    <row r="538" spans="6:17">
      <c r="F538" s="453"/>
      <c r="G538" s="444"/>
      <c r="H538" s="444"/>
      <c r="I538" s="444"/>
      <c r="J538" s="444"/>
      <c r="K538" s="444"/>
      <c r="L538" s="444"/>
      <c r="M538" s="444"/>
      <c r="N538" s="444"/>
      <c r="O538" s="444"/>
      <c r="P538" s="444"/>
      <c r="Q538" s="444"/>
    </row>
    <row r="539" spans="6:17">
      <c r="F539" s="453"/>
      <c r="G539" s="444"/>
      <c r="H539" s="444"/>
      <c r="I539" s="444"/>
      <c r="J539" s="444"/>
      <c r="K539" s="444"/>
      <c r="L539" s="444"/>
      <c r="M539" s="444"/>
      <c r="N539" s="444"/>
      <c r="O539" s="444"/>
      <c r="P539" s="444"/>
      <c r="Q539" s="444"/>
    </row>
    <row r="540" spans="6:17">
      <c r="F540" s="453"/>
      <c r="G540" s="444"/>
      <c r="H540" s="444"/>
      <c r="I540" s="444"/>
      <c r="J540" s="444"/>
      <c r="K540" s="444"/>
      <c r="L540" s="444"/>
      <c r="M540" s="444"/>
      <c r="N540" s="444"/>
      <c r="O540" s="444"/>
      <c r="P540" s="444"/>
      <c r="Q540" s="444"/>
    </row>
    <row r="541" spans="6:17">
      <c r="F541" s="453"/>
      <c r="G541" s="444"/>
      <c r="H541" s="444"/>
      <c r="I541" s="444"/>
      <c r="J541" s="444"/>
      <c r="K541" s="444"/>
      <c r="L541" s="444"/>
      <c r="M541" s="444"/>
      <c r="N541" s="444"/>
      <c r="O541" s="444"/>
      <c r="P541" s="444"/>
      <c r="Q541" s="444"/>
    </row>
    <row r="542" spans="6:17">
      <c r="F542" s="453"/>
      <c r="G542" s="444"/>
      <c r="H542" s="444"/>
      <c r="I542" s="444"/>
      <c r="J542" s="444"/>
      <c r="K542" s="444"/>
      <c r="L542" s="444"/>
      <c r="M542" s="444"/>
      <c r="N542" s="444"/>
      <c r="O542" s="444"/>
      <c r="P542" s="444"/>
      <c r="Q542" s="444"/>
    </row>
    <row r="543" spans="6:17">
      <c r="F543" s="453"/>
      <c r="G543" s="444"/>
      <c r="H543" s="444"/>
      <c r="I543" s="444"/>
      <c r="J543" s="444"/>
      <c r="K543" s="444"/>
      <c r="L543" s="444"/>
      <c r="M543" s="444"/>
      <c r="N543" s="444"/>
      <c r="O543" s="444"/>
      <c r="P543" s="444"/>
      <c r="Q543" s="444"/>
    </row>
    <row r="544" spans="6:17">
      <c r="F544" s="453"/>
      <c r="G544" s="444"/>
      <c r="H544" s="444"/>
      <c r="I544" s="444"/>
      <c r="J544" s="444"/>
      <c r="K544" s="444"/>
      <c r="L544" s="444"/>
      <c r="M544" s="444"/>
      <c r="N544" s="444"/>
      <c r="O544" s="444"/>
      <c r="P544" s="444"/>
      <c r="Q544" s="444"/>
    </row>
    <row r="545" spans="6:17">
      <c r="F545" s="453"/>
      <c r="G545" s="444"/>
      <c r="H545" s="444"/>
      <c r="I545" s="444"/>
      <c r="J545" s="444"/>
      <c r="K545" s="444"/>
      <c r="L545" s="444"/>
      <c r="M545" s="444"/>
      <c r="N545" s="444"/>
      <c r="O545" s="444"/>
      <c r="P545" s="444"/>
      <c r="Q545" s="444"/>
    </row>
    <row r="546" spans="6:17">
      <c r="F546" s="453"/>
      <c r="G546" s="444"/>
      <c r="H546" s="444"/>
      <c r="I546" s="444"/>
      <c r="J546" s="444"/>
      <c r="K546" s="444"/>
      <c r="L546" s="444"/>
      <c r="M546" s="444"/>
      <c r="N546" s="444"/>
      <c r="O546" s="444"/>
      <c r="P546" s="444"/>
      <c r="Q546" s="444"/>
    </row>
    <row r="547" spans="6:17">
      <c r="F547" s="453"/>
      <c r="G547" s="444"/>
      <c r="H547" s="444"/>
      <c r="I547" s="444"/>
      <c r="J547" s="444"/>
      <c r="K547" s="444"/>
      <c r="L547" s="444"/>
      <c r="M547" s="444"/>
      <c r="N547" s="444"/>
      <c r="O547" s="444"/>
      <c r="P547" s="444"/>
      <c r="Q547" s="444"/>
    </row>
    <row r="548" spans="6:17">
      <c r="F548" s="453"/>
      <c r="G548" s="444"/>
      <c r="H548" s="444"/>
      <c r="I548" s="444"/>
      <c r="J548" s="444"/>
      <c r="K548" s="444"/>
      <c r="L548" s="444"/>
      <c r="M548" s="444"/>
      <c r="N548" s="444"/>
      <c r="O548" s="444"/>
      <c r="P548" s="444"/>
      <c r="Q548" s="444"/>
    </row>
    <row r="549" spans="6:17">
      <c r="F549" s="453"/>
      <c r="G549" s="444"/>
      <c r="H549" s="444"/>
      <c r="I549" s="444"/>
      <c r="J549" s="444"/>
      <c r="K549" s="444"/>
      <c r="L549" s="444"/>
      <c r="M549" s="444"/>
      <c r="N549" s="444"/>
      <c r="O549" s="444"/>
      <c r="P549" s="444"/>
      <c r="Q549" s="444"/>
    </row>
    <row r="550" spans="6:17">
      <c r="F550" s="453"/>
      <c r="G550" s="444"/>
      <c r="H550" s="444"/>
      <c r="I550" s="444"/>
      <c r="J550" s="444"/>
      <c r="K550" s="444"/>
      <c r="L550" s="444"/>
      <c r="M550" s="444"/>
      <c r="N550" s="444"/>
      <c r="O550" s="444"/>
      <c r="P550" s="444"/>
      <c r="Q550" s="444"/>
    </row>
    <row r="551" spans="6:17">
      <c r="F551" s="453"/>
      <c r="G551" s="444"/>
      <c r="H551" s="444"/>
      <c r="I551" s="444"/>
      <c r="J551" s="444"/>
      <c r="K551" s="444"/>
      <c r="L551" s="444"/>
      <c r="M551" s="444"/>
      <c r="N551" s="444"/>
      <c r="O551" s="444"/>
      <c r="P551" s="444"/>
      <c r="Q551" s="444"/>
    </row>
    <row r="552" spans="6:17">
      <c r="F552" s="453"/>
      <c r="G552" s="444"/>
      <c r="H552" s="444"/>
      <c r="I552" s="444"/>
      <c r="J552" s="444"/>
      <c r="K552" s="444"/>
      <c r="L552" s="444"/>
      <c r="M552" s="444"/>
      <c r="N552" s="444"/>
      <c r="O552" s="444"/>
      <c r="P552" s="444"/>
      <c r="Q552" s="444"/>
    </row>
    <row r="553" spans="6:17">
      <c r="F553" s="453"/>
      <c r="G553" s="444"/>
      <c r="H553" s="444"/>
      <c r="I553" s="444"/>
      <c r="J553" s="444"/>
      <c r="K553" s="444"/>
      <c r="L553" s="444"/>
      <c r="M553" s="444"/>
      <c r="N553" s="444"/>
      <c r="O553" s="444"/>
      <c r="P553" s="444"/>
      <c r="Q553" s="444"/>
    </row>
    <row r="554" spans="6:17">
      <c r="F554" s="453"/>
      <c r="G554" s="444"/>
      <c r="H554" s="444"/>
      <c r="I554" s="444"/>
      <c r="J554" s="444"/>
      <c r="K554" s="444"/>
      <c r="L554" s="444"/>
      <c r="M554" s="444"/>
      <c r="N554" s="444"/>
      <c r="O554" s="444"/>
      <c r="P554" s="444"/>
      <c r="Q554" s="444"/>
    </row>
    <row r="555" spans="6:17">
      <c r="F555" s="453"/>
      <c r="G555" s="444"/>
      <c r="H555" s="444"/>
      <c r="I555" s="444"/>
      <c r="J555" s="444"/>
      <c r="K555" s="444"/>
      <c r="L555" s="444"/>
      <c r="M555" s="444"/>
      <c r="N555" s="444"/>
      <c r="O555" s="444"/>
      <c r="P555" s="444"/>
      <c r="Q555" s="444"/>
    </row>
    <row r="556" spans="6:17">
      <c r="F556" s="453"/>
      <c r="G556" s="444"/>
      <c r="H556" s="444"/>
      <c r="I556" s="444"/>
      <c r="J556" s="444"/>
      <c r="K556" s="444"/>
      <c r="L556" s="444"/>
      <c r="M556" s="444"/>
      <c r="N556" s="444"/>
      <c r="O556" s="444"/>
      <c r="P556" s="444"/>
      <c r="Q556" s="444"/>
    </row>
    <row r="557" spans="6:17">
      <c r="F557" s="453"/>
      <c r="G557" s="444"/>
      <c r="H557" s="444"/>
      <c r="I557" s="444"/>
      <c r="J557" s="444"/>
      <c r="K557" s="444"/>
      <c r="L557" s="444"/>
      <c r="M557" s="444"/>
      <c r="N557" s="444"/>
      <c r="O557" s="444"/>
      <c r="P557" s="444"/>
      <c r="Q557" s="444"/>
    </row>
    <row r="558" spans="6:17">
      <c r="F558" s="453"/>
      <c r="G558" s="444"/>
      <c r="H558" s="444"/>
      <c r="I558" s="444"/>
      <c r="J558" s="444"/>
      <c r="K558" s="444"/>
      <c r="L558" s="444"/>
      <c r="M558" s="444"/>
      <c r="N558" s="444"/>
      <c r="O558" s="444"/>
      <c r="P558" s="444"/>
      <c r="Q558" s="444"/>
    </row>
    <row r="559" spans="6:17">
      <c r="F559" s="453"/>
      <c r="G559" s="444"/>
      <c r="H559" s="444"/>
      <c r="I559" s="444"/>
      <c r="J559" s="444"/>
      <c r="K559" s="444"/>
      <c r="L559" s="444"/>
      <c r="M559" s="444"/>
      <c r="N559" s="444"/>
      <c r="O559" s="444"/>
      <c r="P559" s="444"/>
      <c r="Q559" s="444"/>
    </row>
    <row r="560" spans="6:17">
      <c r="F560" s="453"/>
      <c r="G560" s="444"/>
      <c r="H560" s="444"/>
      <c r="I560" s="444"/>
      <c r="J560" s="444"/>
      <c r="K560" s="444"/>
      <c r="L560" s="444"/>
      <c r="M560" s="444"/>
      <c r="N560" s="444"/>
      <c r="O560" s="444"/>
      <c r="P560" s="444"/>
      <c r="Q560" s="444"/>
    </row>
    <row r="561" spans="6:17">
      <c r="F561" s="453"/>
      <c r="G561" s="444"/>
      <c r="H561" s="444"/>
      <c r="I561" s="444"/>
      <c r="J561" s="444"/>
      <c r="K561" s="444"/>
      <c r="L561" s="444"/>
      <c r="M561" s="444"/>
      <c r="N561" s="444"/>
      <c r="O561" s="444"/>
      <c r="P561" s="444"/>
      <c r="Q561" s="444"/>
    </row>
    <row r="562" spans="6:17">
      <c r="F562" s="453"/>
      <c r="G562" s="444"/>
      <c r="H562" s="444"/>
      <c r="I562" s="444"/>
      <c r="J562" s="444"/>
      <c r="K562" s="444"/>
      <c r="L562" s="444"/>
      <c r="M562" s="444"/>
      <c r="N562" s="444"/>
      <c r="O562" s="444"/>
      <c r="P562" s="444"/>
      <c r="Q562" s="444"/>
    </row>
    <row r="563" spans="6:17">
      <c r="F563" s="453"/>
      <c r="G563" s="444"/>
      <c r="H563" s="444"/>
      <c r="I563" s="444"/>
      <c r="J563" s="444"/>
      <c r="K563" s="444"/>
      <c r="L563" s="444"/>
      <c r="M563" s="444"/>
      <c r="N563" s="444"/>
      <c r="O563" s="444"/>
      <c r="P563" s="444"/>
      <c r="Q563" s="444"/>
    </row>
    <row r="564" spans="6:17">
      <c r="F564" s="453"/>
      <c r="G564" s="444"/>
      <c r="H564" s="444"/>
      <c r="I564" s="444"/>
      <c r="J564" s="444"/>
      <c r="K564" s="444"/>
      <c r="L564" s="444"/>
      <c r="M564" s="444"/>
      <c r="N564" s="444"/>
      <c r="O564" s="444"/>
      <c r="P564" s="444"/>
      <c r="Q564" s="444"/>
    </row>
    <row r="565" spans="6:17">
      <c r="F565" s="453"/>
      <c r="G565" s="444"/>
      <c r="H565" s="444"/>
      <c r="I565" s="444"/>
      <c r="J565" s="444"/>
      <c r="K565" s="444"/>
      <c r="L565" s="444"/>
      <c r="M565" s="444"/>
      <c r="N565" s="444"/>
      <c r="O565" s="444"/>
      <c r="P565" s="444"/>
      <c r="Q565" s="444"/>
    </row>
    <row r="566" spans="6:17">
      <c r="F566" s="453"/>
      <c r="G566" s="444"/>
      <c r="H566" s="444"/>
      <c r="I566" s="444"/>
      <c r="J566" s="444"/>
      <c r="K566" s="444"/>
      <c r="L566" s="444"/>
      <c r="M566" s="444"/>
      <c r="N566" s="444"/>
      <c r="O566" s="444"/>
      <c r="P566" s="444"/>
      <c r="Q566" s="444"/>
    </row>
    <row r="567" spans="6:17">
      <c r="F567" s="453"/>
      <c r="G567" s="444"/>
      <c r="H567" s="444"/>
      <c r="I567" s="444"/>
      <c r="J567" s="444"/>
      <c r="K567" s="444"/>
      <c r="L567" s="444"/>
      <c r="M567" s="444"/>
      <c r="N567" s="444"/>
      <c r="O567" s="444"/>
      <c r="P567" s="444"/>
      <c r="Q567" s="444"/>
    </row>
    <row r="568" spans="6:17">
      <c r="F568" s="453"/>
      <c r="G568" s="444"/>
      <c r="H568" s="444"/>
      <c r="I568" s="444"/>
      <c r="J568" s="444"/>
      <c r="K568" s="444"/>
      <c r="L568" s="444"/>
      <c r="M568" s="444"/>
      <c r="N568" s="444"/>
      <c r="O568" s="444"/>
      <c r="P568" s="444"/>
      <c r="Q568" s="444"/>
    </row>
    <row r="569" spans="6:17">
      <c r="F569" s="453"/>
      <c r="G569" s="444"/>
      <c r="H569" s="444"/>
      <c r="I569" s="444"/>
      <c r="J569" s="444"/>
      <c r="K569" s="444"/>
      <c r="L569" s="444"/>
      <c r="M569" s="444"/>
      <c r="N569" s="444"/>
      <c r="O569" s="444"/>
      <c r="P569" s="444"/>
      <c r="Q569" s="444"/>
    </row>
    <row r="570" spans="6:17">
      <c r="F570" s="453"/>
      <c r="G570" s="444"/>
      <c r="H570" s="444"/>
      <c r="I570" s="444"/>
      <c r="J570" s="444"/>
      <c r="K570" s="444"/>
      <c r="L570" s="444"/>
      <c r="M570" s="444"/>
      <c r="N570" s="444"/>
      <c r="O570" s="444"/>
      <c r="P570" s="444"/>
      <c r="Q570" s="444"/>
    </row>
    <row r="571" spans="6:17">
      <c r="F571" s="453"/>
      <c r="G571" s="444"/>
      <c r="H571" s="444"/>
      <c r="I571" s="444"/>
      <c r="J571" s="444"/>
      <c r="K571" s="444"/>
      <c r="L571" s="444"/>
      <c r="M571" s="444"/>
      <c r="N571" s="444"/>
      <c r="O571" s="444"/>
      <c r="P571" s="444"/>
      <c r="Q571" s="444"/>
    </row>
    <row r="572" spans="6:17">
      <c r="F572" s="453"/>
      <c r="G572" s="444"/>
      <c r="H572" s="444"/>
      <c r="I572" s="444"/>
      <c r="J572" s="444"/>
      <c r="K572" s="444"/>
      <c r="L572" s="444"/>
      <c r="M572" s="444"/>
      <c r="N572" s="444"/>
      <c r="O572" s="444"/>
      <c r="P572" s="444"/>
      <c r="Q572" s="444"/>
    </row>
    <row r="573" spans="6:17">
      <c r="F573" s="453"/>
      <c r="G573" s="444"/>
      <c r="H573" s="444"/>
      <c r="I573" s="444"/>
      <c r="J573" s="444"/>
      <c r="K573" s="444"/>
      <c r="L573" s="444"/>
      <c r="M573" s="444"/>
      <c r="N573" s="444"/>
      <c r="O573" s="444"/>
      <c r="P573" s="444"/>
      <c r="Q573" s="444"/>
    </row>
    <row r="574" spans="6:17">
      <c r="F574" s="453"/>
      <c r="G574" s="444"/>
      <c r="H574" s="444"/>
      <c r="I574" s="444"/>
      <c r="J574" s="444"/>
      <c r="K574" s="444"/>
      <c r="L574" s="444"/>
      <c r="M574" s="444"/>
      <c r="N574" s="444"/>
      <c r="O574" s="444"/>
      <c r="P574" s="444"/>
      <c r="Q574" s="444"/>
    </row>
    <row r="575" spans="6:17">
      <c r="F575" s="453"/>
      <c r="G575" s="444"/>
      <c r="H575" s="444"/>
      <c r="I575" s="444"/>
      <c r="J575" s="444"/>
      <c r="K575" s="444"/>
      <c r="L575" s="444"/>
      <c r="M575" s="444"/>
      <c r="N575" s="444"/>
      <c r="O575" s="444"/>
      <c r="P575" s="444"/>
      <c r="Q575" s="444"/>
    </row>
    <row r="576" spans="6:17">
      <c r="F576" s="453"/>
      <c r="G576" s="444"/>
      <c r="H576" s="444"/>
      <c r="I576" s="444"/>
      <c r="J576" s="444"/>
      <c r="K576" s="444"/>
      <c r="L576" s="444"/>
      <c r="M576" s="444"/>
      <c r="N576" s="444"/>
      <c r="O576" s="444"/>
      <c r="P576" s="444"/>
      <c r="Q576" s="444"/>
    </row>
    <row r="577" spans="6:17">
      <c r="F577" s="453"/>
      <c r="G577" s="444"/>
      <c r="H577" s="444"/>
      <c r="I577" s="444"/>
      <c r="J577" s="444"/>
      <c r="K577" s="444"/>
      <c r="L577" s="444"/>
      <c r="M577" s="444"/>
      <c r="N577" s="444"/>
      <c r="O577" s="444"/>
      <c r="P577" s="444"/>
      <c r="Q577" s="444"/>
    </row>
    <row r="578" spans="6:17">
      <c r="F578" s="453"/>
      <c r="G578" s="444"/>
      <c r="H578" s="444"/>
      <c r="I578" s="444"/>
      <c r="J578" s="444"/>
      <c r="K578" s="444"/>
      <c r="L578" s="444"/>
      <c r="M578" s="444"/>
      <c r="N578" s="444"/>
      <c r="O578" s="444"/>
      <c r="P578" s="444"/>
      <c r="Q578" s="444"/>
    </row>
    <row r="579" spans="6:17">
      <c r="F579" s="453"/>
      <c r="G579" s="444"/>
      <c r="H579" s="444"/>
      <c r="I579" s="444"/>
      <c r="J579" s="444"/>
      <c r="K579" s="444"/>
      <c r="L579" s="444"/>
      <c r="M579" s="444"/>
      <c r="N579" s="444"/>
      <c r="O579" s="444"/>
      <c r="P579" s="444"/>
      <c r="Q579" s="444"/>
    </row>
    <row r="580" spans="6:17">
      <c r="F580" s="453"/>
      <c r="G580" s="444"/>
      <c r="H580" s="444"/>
      <c r="I580" s="444"/>
      <c r="J580" s="444"/>
      <c r="K580" s="444"/>
      <c r="L580" s="444"/>
      <c r="M580" s="444"/>
      <c r="N580" s="444"/>
      <c r="O580" s="444"/>
      <c r="P580" s="444"/>
      <c r="Q580" s="444"/>
    </row>
    <row r="581" spans="6:17">
      <c r="F581" s="453"/>
      <c r="G581" s="444"/>
      <c r="H581" s="444"/>
      <c r="I581" s="444"/>
      <c r="J581" s="444"/>
      <c r="K581" s="444"/>
      <c r="L581" s="444"/>
      <c r="M581" s="444"/>
      <c r="N581" s="444"/>
      <c r="O581" s="444"/>
      <c r="P581" s="444"/>
      <c r="Q581" s="444"/>
    </row>
    <row r="582" spans="6:17">
      <c r="F582" s="453"/>
      <c r="G582" s="444"/>
      <c r="H582" s="444"/>
      <c r="I582" s="444"/>
      <c r="J582" s="444"/>
      <c r="K582" s="444"/>
      <c r="L582" s="444"/>
      <c r="M582" s="444"/>
      <c r="N582" s="444"/>
      <c r="O582" s="444"/>
      <c r="P582" s="444"/>
      <c r="Q582" s="444"/>
    </row>
    <row r="583" spans="6:17">
      <c r="F583" s="453"/>
      <c r="G583" s="444"/>
      <c r="H583" s="444"/>
      <c r="I583" s="444"/>
      <c r="J583" s="444"/>
      <c r="K583" s="444"/>
      <c r="L583" s="444"/>
      <c r="M583" s="444"/>
      <c r="N583" s="444"/>
      <c r="O583" s="444"/>
      <c r="P583" s="444"/>
      <c r="Q583" s="444"/>
    </row>
    <row r="584" spans="6:17">
      <c r="F584" s="453"/>
      <c r="G584" s="444"/>
      <c r="H584" s="444"/>
      <c r="I584" s="444"/>
      <c r="J584" s="444"/>
      <c r="K584" s="444"/>
      <c r="L584" s="444"/>
      <c r="M584" s="444"/>
      <c r="N584" s="444"/>
      <c r="O584" s="444"/>
      <c r="P584" s="444"/>
      <c r="Q584" s="444"/>
    </row>
    <row r="585" spans="6:17">
      <c r="F585" s="453"/>
      <c r="G585" s="444"/>
      <c r="H585" s="444"/>
      <c r="I585" s="444"/>
      <c r="J585" s="444"/>
      <c r="K585" s="444"/>
      <c r="L585" s="444"/>
      <c r="M585" s="444"/>
      <c r="N585" s="444"/>
      <c r="O585" s="444"/>
      <c r="P585" s="444"/>
      <c r="Q585" s="444"/>
    </row>
    <row r="586" spans="6:17">
      <c r="F586" s="453"/>
      <c r="G586" s="444"/>
      <c r="H586" s="444"/>
      <c r="I586" s="444"/>
      <c r="J586" s="444"/>
      <c r="K586" s="444"/>
      <c r="L586" s="444"/>
      <c r="M586" s="444"/>
      <c r="N586" s="444"/>
      <c r="O586" s="444"/>
      <c r="P586" s="444"/>
      <c r="Q586" s="444"/>
    </row>
    <row r="587" spans="6:17">
      <c r="F587" s="453"/>
      <c r="G587" s="444"/>
      <c r="H587" s="444"/>
      <c r="I587" s="444"/>
      <c r="J587" s="444"/>
      <c r="K587" s="444"/>
      <c r="L587" s="444"/>
      <c r="M587" s="444"/>
      <c r="N587" s="444"/>
      <c r="O587" s="444"/>
      <c r="P587" s="444"/>
      <c r="Q587" s="444"/>
    </row>
    <row r="588" spans="6:17">
      <c r="F588" s="453"/>
      <c r="G588" s="444"/>
      <c r="H588" s="444"/>
      <c r="I588" s="444"/>
      <c r="J588" s="444"/>
      <c r="K588" s="444"/>
      <c r="L588" s="444"/>
      <c r="M588" s="444"/>
      <c r="N588" s="444"/>
      <c r="O588" s="444"/>
      <c r="P588" s="444"/>
      <c r="Q588" s="444"/>
    </row>
    <row r="589" spans="6:17">
      <c r="F589" s="453"/>
      <c r="G589" s="444"/>
      <c r="H589" s="444"/>
      <c r="I589" s="444"/>
      <c r="J589" s="444"/>
      <c r="K589" s="444"/>
      <c r="L589" s="444"/>
      <c r="M589" s="444"/>
      <c r="N589" s="444"/>
      <c r="O589" s="444"/>
      <c r="P589" s="444"/>
      <c r="Q589" s="444"/>
    </row>
    <row r="590" spans="6:17">
      <c r="F590" s="453"/>
      <c r="G590" s="444"/>
      <c r="H590" s="444"/>
      <c r="I590" s="444"/>
      <c r="J590" s="444"/>
      <c r="K590" s="444"/>
      <c r="L590" s="444"/>
      <c r="M590" s="444"/>
      <c r="N590" s="444"/>
      <c r="O590" s="444"/>
      <c r="P590" s="444"/>
      <c r="Q590" s="444"/>
    </row>
    <row r="591" spans="6:17">
      <c r="F591" s="453"/>
      <c r="G591" s="444"/>
      <c r="H591" s="444"/>
      <c r="I591" s="444"/>
      <c r="J591" s="444"/>
      <c r="K591" s="444"/>
      <c r="L591" s="444"/>
      <c r="M591" s="444"/>
      <c r="N591" s="444"/>
      <c r="O591" s="444"/>
      <c r="P591" s="444"/>
      <c r="Q591" s="444"/>
    </row>
    <row r="592" spans="6:17">
      <c r="F592" s="453"/>
      <c r="G592" s="444"/>
      <c r="H592" s="444"/>
      <c r="I592" s="444"/>
      <c r="J592" s="444"/>
      <c r="K592" s="444"/>
      <c r="L592" s="444"/>
      <c r="M592" s="444"/>
      <c r="N592" s="444"/>
      <c r="O592" s="444"/>
      <c r="P592" s="444"/>
      <c r="Q592" s="444"/>
    </row>
    <row r="593" spans="6:17">
      <c r="F593" s="453"/>
      <c r="G593" s="444"/>
      <c r="H593" s="444"/>
      <c r="I593" s="444"/>
      <c r="J593" s="444"/>
      <c r="K593" s="444"/>
      <c r="L593" s="444"/>
      <c r="M593" s="444"/>
      <c r="N593" s="444"/>
      <c r="O593" s="444"/>
      <c r="P593" s="444"/>
      <c r="Q593" s="444"/>
    </row>
    <row r="594" spans="6:17">
      <c r="F594" s="453"/>
      <c r="G594" s="444"/>
      <c r="H594" s="444"/>
      <c r="I594" s="444"/>
      <c r="J594" s="444"/>
      <c r="K594" s="444"/>
      <c r="L594" s="444"/>
      <c r="M594" s="444"/>
      <c r="N594" s="444"/>
      <c r="O594" s="444"/>
      <c r="P594" s="444"/>
      <c r="Q594" s="444"/>
    </row>
    <row r="595" spans="6:17">
      <c r="F595" s="453"/>
      <c r="G595" s="444"/>
      <c r="H595" s="444"/>
      <c r="I595" s="444"/>
      <c r="J595" s="444"/>
      <c r="K595" s="444"/>
      <c r="L595" s="444"/>
      <c r="M595" s="444"/>
      <c r="N595" s="444"/>
      <c r="O595" s="444"/>
      <c r="P595" s="444"/>
      <c r="Q595" s="444"/>
    </row>
    <row r="596" spans="6:17">
      <c r="F596" s="453"/>
      <c r="G596" s="444"/>
      <c r="H596" s="444"/>
      <c r="I596" s="444"/>
      <c r="J596" s="444"/>
      <c r="K596" s="444"/>
      <c r="L596" s="444"/>
      <c r="M596" s="444"/>
      <c r="N596" s="444"/>
      <c r="O596" s="444"/>
      <c r="P596" s="444"/>
      <c r="Q596" s="444"/>
    </row>
    <row r="597" spans="6:17">
      <c r="F597" s="453"/>
      <c r="G597" s="444"/>
      <c r="H597" s="444"/>
      <c r="I597" s="444"/>
      <c r="J597" s="444"/>
      <c r="K597" s="444"/>
      <c r="L597" s="444"/>
      <c r="M597" s="444"/>
      <c r="N597" s="444"/>
      <c r="O597" s="444"/>
      <c r="P597" s="444"/>
      <c r="Q597" s="444"/>
    </row>
    <row r="598" spans="6:17">
      <c r="F598" s="453"/>
      <c r="G598" s="444"/>
      <c r="H598" s="444"/>
      <c r="I598" s="444"/>
      <c r="J598" s="444"/>
      <c r="K598" s="444"/>
      <c r="L598" s="444"/>
      <c r="M598" s="444"/>
      <c r="N598" s="444"/>
      <c r="O598" s="444"/>
      <c r="P598" s="444"/>
      <c r="Q598" s="444"/>
    </row>
    <row r="599" spans="6:17">
      <c r="F599" s="453"/>
      <c r="G599" s="444"/>
      <c r="H599" s="444"/>
      <c r="I599" s="444"/>
      <c r="J599" s="444"/>
      <c r="K599" s="444"/>
      <c r="L599" s="444"/>
      <c r="M599" s="444"/>
      <c r="N599" s="444"/>
      <c r="O599" s="444"/>
      <c r="P599" s="444"/>
      <c r="Q599" s="444"/>
    </row>
    <row r="600" spans="6:17">
      <c r="F600" s="453"/>
      <c r="G600" s="444"/>
      <c r="H600" s="444"/>
      <c r="I600" s="444"/>
      <c r="J600" s="444"/>
      <c r="K600" s="444"/>
      <c r="L600" s="444"/>
      <c r="M600" s="444"/>
      <c r="N600" s="444"/>
      <c r="O600" s="444"/>
      <c r="P600" s="444"/>
      <c r="Q600" s="444"/>
    </row>
    <row r="601" spans="6:17">
      <c r="F601" s="453"/>
      <c r="G601" s="444"/>
      <c r="H601" s="444"/>
      <c r="I601" s="444"/>
      <c r="J601" s="444"/>
      <c r="K601" s="444"/>
      <c r="L601" s="444"/>
      <c r="M601" s="444"/>
      <c r="N601" s="444"/>
      <c r="O601" s="444"/>
      <c r="P601" s="444"/>
      <c r="Q601" s="444"/>
    </row>
    <row r="602" spans="6:17">
      <c r="F602" s="453"/>
      <c r="G602" s="444"/>
      <c r="H602" s="444"/>
      <c r="I602" s="444"/>
      <c r="J602" s="444"/>
      <c r="K602" s="444"/>
      <c r="L602" s="444"/>
      <c r="M602" s="444"/>
      <c r="N602" s="444"/>
      <c r="O602" s="444"/>
      <c r="P602" s="444"/>
      <c r="Q602" s="444"/>
    </row>
    <row r="603" spans="6:17">
      <c r="F603" s="453"/>
      <c r="G603" s="444"/>
      <c r="H603" s="444"/>
      <c r="I603" s="444"/>
      <c r="J603" s="444"/>
      <c r="K603" s="444"/>
      <c r="L603" s="444"/>
      <c r="M603" s="444"/>
      <c r="N603" s="444"/>
      <c r="O603" s="444"/>
      <c r="P603" s="444"/>
      <c r="Q603" s="444"/>
    </row>
    <row r="604" spans="6:17">
      <c r="F604" s="453"/>
      <c r="G604" s="444"/>
      <c r="H604" s="444"/>
      <c r="I604" s="444"/>
      <c r="J604" s="444"/>
      <c r="K604" s="444"/>
      <c r="L604" s="444"/>
      <c r="M604" s="444"/>
      <c r="N604" s="444"/>
      <c r="O604" s="444"/>
      <c r="P604" s="444"/>
      <c r="Q604" s="444"/>
    </row>
    <row r="605" spans="6:17">
      <c r="F605" s="453"/>
      <c r="G605" s="444"/>
      <c r="H605" s="444"/>
      <c r="I605" s="444"/>
      <c r="J605" s="444"/>
      <c r="K605" s="444"/>
      <c r="L605" s="444"/>
      <c r="M605" s="444"/>
      <c r="N605" s="444"/>
      <c r="O605" s="444"/>
      <c r="P605" s="444"/>
      <c r="Q605" s="444"/>
    </row>
    <row r="606" spans="6:17">
      <c r="F606" s="453"/>
      <c r="G606" s="444"/>
      <c r="H606" s="444"/>
      <c r="I606" s="444"/>
      <c r="J606" s="444"/>
      <c r="K606" s="444"/>
      <c r="L606" s="444"/>
      <c r="M606" s="444"/>
      <c r="N606" s="444"/>
      <c r="O606" s="444"/>
      <c r="P606" s="444"/>
      <c r="Q606" s="444"/>
    </row>
    <row r="607" spans="6:17">
      <c r="F607" s="453"/>
      <c r="G607" s="444"/>
      <c r="H607" s="444"/>
      <c r="I607" s="444"/>
      <c r="J607" s="444"/>
      <c r="K607" s="444"/>
      <c r="L607" s="444"/>
      <c r="M607" s="444"/>
      <c r="N607" s="444"/>
      <c r="O607" s="444"/>
      <c r="P607" s="444"/>
      <c r="Q607" s="444"/>
    </row>
    <row r="608" spans="6:17">
      <c r="F608" s="453"/>
      <c r="G608" s="444"/>
      <c r="H608" s="444"/>
      <c r="I608" s="444"/>
      <c r="J608" s="444"/>
      <c r="K608" s="444"/>
      <c r="L608" s="444"/>
      <c r="M608" s="444"/>
      <c r="N608" s="444"/>
      <c r="O608" s="444"/>
      <c r="P608" s="444"/>
      <c r="Q608" s="444"/>
    </row>
    <row r="609" spans="6:17">
      <c r="F609" s="453"/>
      <c r="G609" s="444"/>
      <c r="H609" s="444"/>
      <c r="I609" s="444"/>
      <c r="J609" s="444"/>
      <c r="K609" s="444"/>
      <c r="L609" s="444"/>
      <c r="M609" s="444"/>
      <c r="N609" s="444"/>
      <c r="O609" s="444"/>
      <c r="P609" s="444"/>
      <c r="Q609" s="444"/>
    </row>
    <row r="610" spans="6:17">
      <c r="F610" s="453"/>
      <c r="G610" s="444"/>
      <c r="H610" s="444"/>
      <c r="I610" s="444"/>
      <c r="J610" s="444"/>
      <c r="K610" s="444"/>
      <c r="L610" s="444"/>
      <c r="M610" s="444"/>
      <c r="N610" s="444"/>
      <c r="O610" s="444"/>
      <c r="P610" s="444"/>
      <c r="Q610" s="444"/>
    </row>
    <row r="611" spans="6:17">
      <c r="F611" s="453"/>
      <c r="G611" s="444"/>
      <c r="H611" s="444"/>
      <c r="I611" s="444"/>
      <c r="J611" s="444"/>
      <c r="K611" s="444"/>
      <c r="L611" s="444"/>
      <c r="M611" s="444"/>
      <c r="N611" s="444"/>
      <c r="O611" s="444"/>
      <c r="P611" s="444"/>
      <c r="Q611" s="444"/>
    </row>
    <row r="612" spans="6:17">
      <c r="F612" s="453"/>
      <c r="G612" s="444"/>
      <c r="H612" s="444"/>
      <c r="I612" s="444"/>
      <c r="J612" s="444"/>
      <c r="K612" s="444"/>
      <c r="L612" s="444"/>
      <c r="M612" s="444"/>
      <c r="N612" s="444"/>
      <c r="O612" s="444"/>
      <c r="P612" s="444"/>
      <c r="Q612" s="444"/>
    </row>
    <row r="613" spans="6:17">
      <c r="F613" s="453"/>
      <c r="G613" s="444"/>
      <c r="H613" s="444"/>
      <c r="I613" s="444"/>
      <c r="J613" s="444"/>
      <c r="K613" s="444"/>
      <c r="L613" s="444"/>
      <c r="M613" s="444"/>
      <c r="N613" s="444"/>
      <c r="O613" s="444"/>
      <c r="P613" s="444"/>
      <c r="Q613" s="444"/>
    </row>
    <row r="614" spans="6:17">
      <c r="F614" s="453"/>
      <c r="G614" s="444"/>
      <c r="H614" s="444"/>
      <c r="I614" s="444"/>
      <c r="J614" s="444"/>
      <c r="K614" s="444"/>
      <c r="L614" s="444"/>
      <c r="M614" s="444"/>
      <c r="N614" s="444"/>
      <c r="O614" s="444"/>
      <c r="P614" s="444"/>
      <c r="Q614" s="444"/>
    </row>
    <row r="615" spans="6:17">
      <c r="F615" s="453"/>
      <c r="G615" s="444"/>
      <c r="H615" s="444"/>
      <c r="I615" s="444"/>
      <c r="J615" s="444"/>
      <c r="K615" s="444"/>
      <c r="L615" s="444"/>
      <c r="M615" s="444"/>
      <c r="N615" s="444"/>
      <c r="O615" s="444"/>
      <c r="P615" s="444"/>
      <c r="Q615" s="444"/>
    </row>
    <row r="616" spans="6:17">
      <c r="F616" s="453"/>
      <c r="G616" s="444"/>
      <c r="H616" s="444"/>
      <c r="I616" s="444"/>
      <c r="J616" s="444"/>
      <c r="K616" s="444"/>
      <c r="L616" s="444"/>
      <c r="M616" s="444"/>
      <c r="N616" s="444"/>
      <c r="O616" s="444"/>
      <c r="P616" s="444"/>
      <c r="Q616" s="444"/>
    </row>
    <row r="617" spans="6:17">
      <c r="F617" s="453"/>
      <c r="G617" s="444"/>
      <c r="H617" s="444"/>
      <c r="I617" s="444"/>
      <c r="J617" s="444"/>
      <c r="K617" s="444"/>
      <c r="L617" s="444"/>
      <c r="M617" s="444"/>
      <c r="N617" s="444"/>
      <c r="O617" s="444"/>
      <c r="P617" s="444"/>
      <c r="Q617" s="444"/>
    </row>
    <row r="618" spans="6:17">
      <c r="F618" s="453"/>
      <c r="G618" s="444"/>
      <c r="H618" s="444"/>
      <c r="I618" s="444"/>
      <c r="J618" s="444"/>
      <c r="K618" s="444"/>
      <c r="L618" s="444"/>
      <c r="M618" s="444"/>
      <c r="N618" s="444"/>
      <c r="O618" s="444"/>
      <c r="P618" s="444"/>
      <c r="Q618" s="444"/>
    </row>
    <row r="619" spans="6:17">
      <c r="F619" s="453"/>
      <c r="G619" s="444"/>
      <c r="H619" s="444"/>
      <c r="I619" s="444"/>
      <c r="J619" s="444"/>
      <c r="K619" s="444"/>
      <c r="L619" s="444"/>
      <c r="M619" s="444"/>
      <c r="N619" s="444"/>
      <c r="O619" s="444"/>
      <c r="P619" s="444"/>
      <c r="Q619" s="444"/>
    </row>
    <row r="620" spans="6:17">
      <c r="F620" s="453"/>
      <c r="G620" s="444"/>
      <c r="H620" s="444"/>
      <c r="I620" s="444"/>
      <c r="J620" s="444"/>
      <c r="K620" s="444"/>
      <c r="L620" s="444"/>
      <c r="M620" s="444"/>
      <c r="N620" s="444"/>
      <c r="O620" s="444"/>
      <c r="P620" s="444"/>
      <c r="Q620" s="444"/>
    </row>
    <row r="621" spans="6:17">
      <c r="F621" s="453"/>
      <c r="G621" s="444"/>
      <c r="H621" s="444"/>
      <c r="I621" s="444"/>
      <c r="J621" s="444"/>
      <c r="K621" s="444"/>
      <c r="L621" s="444"/>
      <c r="M621" s="444"/>
      <c r="N621" s="444"/>
      <c r="O621" s="444"/>
      <c r="P621" s="444"/>
      <c r="Q621" s="444"/>
    </row>
    <row r="622" spans="6:17">
      <c r="F622" s="453"/>
      <c r="G622" s="444"/>
      <c r="H622" s="444"/>
      <c r="I622" s="444"/>
      <c r="J622" s="444"/>
      <c r="K622" s="444"/>
      <c r="L622" s="444"/>
      <c r="M622" s="444"/>
      <c r="N622" s="444"/>
      <c r="O622" s="444"/>
      <c r="P622" s="444"/>
      <c r="Q622" s="444"/>
    </row>
    <row r="623" spans="6:17">
      <c r="F623" s="453"/>
      <c r="G623" s="444"/>
      <c r="H623" s="444"/>
      <c r="I623" s="444"/>
      <c r="J623" s="444"/>
      <c r="K623" s="444"/>
      <c r="L623" s="444"/>
      <c r="M623" s="444"/>
      <c r="N623" s="444"/>
      <c r="O623" s="444"/>
      <c r="P623" s="444"/>
      <c r="Q623" s="444"/>
    </row>
    <row r="624" spans="6:17">
      <c r="F624" s="453"/>
      <c r="G624" s="444"/>
      <c r="H624" s="444"/>
      <c r="I624" s="444"/>
      <c r="J624" s="444"/>
      <c r="K624" s="444"/>
      <c r="L624" s="444"/>
      <c r="M624" s="444"/>
      <c r="N624" s="444"/>
      <c r="O624" s="444"/>
      <c r="P624" s="444"/>
      <c r="Q624" s="444"/>
    </row>
    <row r="625" spans="6:17">
      <c r="F625" s="453"/>
      <c r="G625" s="444"/>
      <c r="H625" s="444"/>
      <c r="I625" s="444"/>
      <c r="J625" s="444"/>
      <c r="K625" s="444"/>
      <c r="L625" s="444"/>
      <c r="M625" s="444"/>
      <c r="N625" s="444"/>
      <c r="O625" s="444"/>
      <c r="P625" s="444"/>
      <c r="Q625" s="444"/>
    </row>
    <row r="626" spans="6:17">
      <c r="F626" s="453"/>
      <c r="G626" s="444"/>
      <c r="H626" s="444"/>
      <c r="I626" s="444"/>
      <c r="J626" s="444"/>
      <c r="K626" s="444"/>
      <c r="L626" s="444"/>
      <c r="M626" s="444"/>
      <c r="N626" s="444"/>
      <c r="O626" s="444"/>
      <c r="P626" s="444"/>
      <c r="Q626" s="444"/>
    </row>
    <row r="627" spans="6:17">
      <c r="F627" s="453"/>
      <c r="G627" s="444"/>
      <c r="H627" s="444"/>
      <c r="I627" s="444"/>
      <c r="J627" s="444"/>
      <c r="K627" s="444"/>
      <c r="L627" s="444"/>
      <c r="M627" s="444"/>
      <c r="N627" s="444"/>
      <c r="O627" s="444"/>
      <c r="P627" s="444"/>
      <c r="Q627" s="444"/>
    </row>
    <row r="628" spans="6:17">
      <c r="F628" s="453"/>
      <c r="G628" s="444"/>
      <c r="H628" s="444"/>
      <c r="I628" s="444"/>
      <c r="J628" s="444"/>
      <c r="K628" s="444"/>
      <c r="L628" s="444"/>
      <c r="M628" s="444"/>
      <c r="N628" s="444"/>
      <c r="O628" s="444"/>
      <c r="P628" s="444"/>
      <c r="Q628" s="444"/>
    </row>
    <row r="629" spans="6:17">
      <c r="F629" s="453"/>
      <c r="G629" s="444"/>
      <c r="H629" s="444"/>
      <c r="I629" s="444"/>
      <c r="J629" s="444"/>
      <c r="K629" s="444"/>
      <c r="L629" s="444"/>
      <c r="M629" s="444"/>
      <c r="N629" s="444"/>
      <c r="O629" s="444"/>
      <c r="P629" s="444"/>
      <c r="Q629" s="444"/>
    </row>
    <row r="630" spans="6:17">
      <c r="F630" s="453"/>
      <c r="G630" s="444"/>
      <c r="H630" s="444"/>
      <c r="I630" s="444"/>
      <c r="J630" s="444"/>
      <c r="K630" s="444"/>
      <c r="L630" s="444"/>
      <c r="M630" s="444"/>
      <c r="N630" s="444"/>
      <c r="O630" s="444"/>
      <c r="P630" s="444"/>
      <c r="Q630" s="444"/>
    </row>
    <row r="631" spans="6:17">
      <c r="F631" s="453"/>
      <c r="G631" s="444"/>
      <c r="H631" s="444"/>
      <c r="I631" s="444"/>
      <c r="J631" s="444"/>
      <c r="K631" s="444"/>
      <c r="L631" s="444"/>
      <c r="M631" s="444"/>
      <c r="N631" s="444"/>
      <c r="O631" s="444"/>
      <c r="P631" s="444"/>
      <c r="Q631" s="444"/>
    </row>
    <row r="632" spans="6:17">
      <c r="F632" s="453"/>
      <c r="G632" s="444"/>
      <c r="H632" s="444"/>
      <c r="I632" s="444"/>
      <c r="J632" s="444"/>
      <c r="K632" s="444"/>
      <c r="L632" s="444"/>
      <c r="M632" s="444"/>
      <c r="N632" s="444"/>
      <c r="O632" s="444"/>
      <c r="P632" s="444"/>
      <c r="Q632" s="444"/>
    </row>
    <row r="633" spans="6:17">
      <c r="F633" s="453"/>
      <c r="G633" s="444"/>
      <c r="H633" s="444"/>
      <c r="I633" s="444"/>
      <c r="J633" s="444"/>
      <c r="K633" s="444"/>
      <c r="L633" s="444"/>
      <c r="M633" s="444"/>
      <c r="N633" s="444"/>
      <c r="O633" s="444"/>
      <c r="P633" s="444"/>
      <c r="Q633" s="444"/>
    </row>
    <row r="634" spans="6:17">
      <c r="F634" s="453"/>
      <c r="G634" s="444"/>
      <c r="H634" s="444"/>
      <c r="I634" s="444"/>
      <c r="J634" s="444"/>
      <c r="K634" s="444"/>
      <c r="L634" s="444"/>
      <c r="M634" s="444"/>
      <c r="N634" s="444"/>
      <c r="O634" s="444"/>
      <c r="P634" s="444"/>
      <c r="Q634" s="444"/>
    </row>
    <row r="635" spans="6:17">
      <c r="F635" s="453"/>
      <c r="G635" s="444"/>
      <c r="H635" s="444"/>
      <c r="I635" s="444"/>
      <c r="J635" s="444"/>
      <c r="K635" s="444"/>
      <c r="L635" s="444"/>
      <c r="M635" s="444"/>
      <c r="N635" s="444"/>
      <c r="O635" s="444"/>
      <c r="P635" s="444"/>
      <c r="Q635" s="444"/>
    </row>
    <row r="636" spans="6:17">
      <c r="F636" s="453"/>
      <c r="G636" s="444"/>
      <c r="H636" s="444"/>
      <c r="I636" s="444"/>
      <c r="J636" s="444"/>
      <c r="K636" s="444"/>
      <c r="L636" s="444"/>
      <c r="M636" s="444"/>
      <c r="N636" s="444"/>
      <c r="O636" s="444"/>
      <c r="P636" s="444"/>
      <c r="Q636" s="444"/>
    </row>
    <row r="637" spans="6:17">
      <c r="F637" s="453"/>
      <c r="G637" s="444"/>
      <c r="H637" s="444"/>
      <c r="I637" s="444"/>
      <c r="J637" s="444"/>
      <c r="K637" s="444"/>
      <c r="L637" s="444"/>
      <c r="M637" s="444"/>
      <c r="N637" s="444"/>
      <c r="O637" s="444"/>
      <c r="P637" s="444"/>
      <c r="Q637" s="444"/>
    </row>
    <row r="638" spans="6:17">
      <c r="F638" s="453"/>
      <c r="G638" s="444"/>
      <c r="H638" s="444"/>
      <c r="I638" s="444"/>
      <c r="J638" s="444"/>
      <c r="K638" s="444"/>
      <c r="L638" s="444"/>
      <c r="M638" s="444"/>
      <c r="N638" s="444"/>
      <c r="O638" s="444"/>
      <c r="P638" s="444"/>
      <c r="Q638" s="444"/>
    </row>
    <row r="639" spans="6:17">
      <c r="F639" s="453"/>
      <c r="G639" s="444"/>
      <c r="H639" s="444"/>
      <c r="I639" s="444"/>
      <c r="J639" s="444"/>
      <c r="K639" s="444"/>
      <c r="L639" s="444"/>
      <c r="M639" s="444"/>
      <c r="N639" s="444"/>
      <c r="O639" s="444"/>
      <c r="P639" s="444"/>
      <c r="Q639" s="444"/>
    </row>
    <row r="640" spans="6:17">
      <c r="F640" s="453"/>
      <c r="G640" s="444"/>
      <c r="H640" s="444"/>
      <c r="I640" s="444"/>
      <c r="J640" s="444"/>
      <c r="K640" s="444"/>
      <c r="L640" s="444"/>
      <c r="M640" s="444"/>
      <c r="N640" s="444"/>
      <c r="O640" s="444"/>
      <c r="P640" s="444"/>
      <c r="Q640" s="444"/>
    </row>
    <row r="641" spans="6:17">
      <c r="F641" s="453"/>
      <c r="G641" s="444"/>
      <c r="H641" s="444"/>
      <c r="I641" s="444"/>
      <c r="J641" s="444"/>
      <c r="K641" s="444"/>
      <c r="L641" s="444"/>
      <c r="M641" s="444"/>
      <c r="N641" s="444"/>
      <c r="O641" s="444"/>
      <c r="P641" s="444"/>
      <c r="Q641" s="444"/>
    </row>
    <row r="642" spans="6:17">
      <c r="F642" s="453"/>
      <c r="G642" s="444"/>
      <c r="H642" s="444"/>
      <c r="I642" s="444"/>
      <c r="J642" s="444"/>
      <c r="K642" s="444"/>
      <c r="L642" s="444"/>
      <c r="M642" s="444"/>
      <c r="N642" s="444"/>
      <c r="O642" s="444"/>
      <c r="P642" s="444"/>
      <c r="Q642" s="444"/>
    </row>
    <row r="643" spans="6:17">
      <c r="F643" s="453"/>
      <c r="G643" s="444"/>
      <c r="H643" s="444"/>
      <c r="I643" s="444"/>
      <c r="J643" s="444"/>
      <c r="K643" s="444"/>
      <c r="L643" s="444"/>
      <c r="M643" s="444"/>
      <c r="N643" s="444"/>
      <c r="O643" s="444"/>
      <c r="P643" s="444"/>
      <c r="Q643" s="444"/>
    </row>
    <row r="644" spans="6:17">
      <c r="F644" s="453"/>
      <c r="G644" s="444"/>
      <c r="H644" s="444"/>
      <c r="I644" s="444"/>
      <c r="J644" s="444"/>
      <c r="K644" s="444"/>
      <c r="L644" s="444"/>
      <c r="M644" s="444"/>
      <c r="N644" s="444"/>
      <c r="O644" s="444"/>
      <c r="P644" s="444"/>
      <c r="Q644" s="444"/>
    </row>
    <row r="645" spans="6:17">
      <c r="F645" s="453"/>
      <c r="G645" s="444"/>
      <c r="H645" s="444"/>
      <c r="I645" s="444"/>
      <c r="J645" s="444"/>
      <c r="K645" s="444"/>
      <c r="L645" s="444"/>
      <c r="M645" s="444"/>
      <c r="N645" s="444"/>
      <c r="O645" s="444"/>
      <c r="P645" s="444"/>
      <c r="Q645" s="444"/>
    </row>
    <row r="646" spans="6:17">
      <c r="F646" s="453"/>
      <c r="G646" s="444"/>
      <c r="H646" s="444"/>
      <c r="I646" s="444"/>
      <c r="J646" s="444"/>
      <c r="K646" s="444"/>
      <c r="L646" s="444"/>
      <c r="M646" s="444"/>
      <c r="N646" s="444"/>
      <c r="O646" s="444"/>
      <c r="P646" s="444"/>
      <c r="Q646" s="444"/>
    </row>
    <row r="647" spans="6:17">
      <c r="F647" s="453"/>
      <c r="G647" s="444"/>
      <c r="H647" s="444"/>
      <c r="I647" s="444"/>
      <c r="J647" s="444"/>
      <c r="K647" s="444"/>
      <c r="L647" s="444"/>
      <c r="M647" s="444"/>
      <c r="N647" s="444"/>
      <c r="O647" s="444"/>
      <c r="P647" s="444"/>
      <c r="Q647" s="444"/>
    </row>
    <row r="648" spans="6:17">
      <c r="F648" s="453"/>
      <c r="G648" s="444"/>
      <c r="H648" s="444"/>
      <c r="I648" s="444"/>
      <c r="J648" s="444"/>
      <c r="K648" s="444"/>
      <c r="L648" s="444"/>
      <c r="M648" s="444"/>
      <c r="N648" s="444"/>
      <c r="O648" s="444"/>
      <c r="P648" s="444"/>
      <c r="Q648" s="444"/>
    </row>
    <row r="649" spans="6:17">
      <c r="F649" s="453"/>
      <c r="G649" s="444"/>
      <c r="H649" s="444"/>
      <c r="I649" s="444"/>
      <c r="J649" s="444"/>
      <c r="K649" s="444"/>
      <c r="L649" s="444"/>
      <c r="M649" s="444"/>
      <c r="N649" s="444"/>
      <c r="O649" s="444"/>
      <c r="P649" s="444"/>
      <c r="Q649" s="444"/>
    </row>
    <row r="650" spans="6:17">
      <c r="F650" s="453"/>
      <c r="G650" s="444"/>
      <c r="H650" s="444"/>
      <c r="I650" s="444"/>
      <c r="J650" s="444"/>
      <c r="K650" s="444"/>
      <c r="L650" s="444"/>
      <c r="M650" s="444"/>
      <c r="N650" s="444"/>
      <c r="O650" s="444"/>
      <c r="P650" s="444"/>
      <c r="Q650" s="444"/>
    </row>
    <row r="651" spans="6:17">
      <c r="F651" s="453"/>
      <c r="G651" s="444"/>
      <c r="H651" s="444"/>
      <c r="I651" s="444"/>
      <c r="J651" s="444"/>
      <c r="K651" s="444"/>
      <c r="L651" s="444"/>
      <c r="M651" s="444"/>
      <c r="N651" s="444"/>
      <c r="O651" s="444"/>
      <c r="P651" s="444"/>
      <c r="Q651" s="444"/>
    </row>
    <row r="652" spans="6:17">
      <c r="F652" s="453"/>
      <c r="G652" s="444"/>
      <c r="H652" s="444"/>
      <c r="I652" s="444"/>
      <c r="J652" s="444"/>
      <c r="K652" s="444"/>
      <c r="L652" s="444"/>
      <c r="M652" s="444"/>
      <c r="N652" s="444"/>
      <c r="O652" s="444"/>
      <c r="P652" s="444"/>
      <c r="Q652" s="444"/>
    </row>
    <row r="653" spans="6:17">
      <c r="F653" s="453"/>
      <c r="G653" s="444"/>
      <c r="H653" s="444"/>
      <c r="I653" s="444"/>
      <c r="J653" s="444"/>
      <c r="K653" s="444"/>
      <c r="L653" s="444"/>
      <c r="M653" s="444"/>
      <c r="N653" s="444"/>
      <c r="O653" s="444"/>
      <c r="P653" s="444"/>
      <c r="Q653" s="444"/>
    </row>
    <row r="654" spans="6:17">
      <c r="F654" s="453"/>
      <c r="G654" s="444"/>
      <c r="H654" s="444"/>
      <c r="I654" s="444"/>
      <c r="J654" s="444"/>
      <c r="K654" s="444"/>
      <c r="L654" s="444"/>
      <c r="M654" s="444"/>
      <c r="N654" s="444"/>
      <c r="O654" s="444"/>
      <c r="P654" s="444"/>
      <c r="Q654" s="444"/>
    </row>
    <row r="655" spans="6:17">
      <c r="F655" s="453"/>
      <c r="G655" s="444"/>
      <c r="H655" s="444"/>
      <c r="I655" s="444"/>
      <c r="J655" s="444"/>
      <c r="K655" s="444"/>
      <c r="L655" s="444"/>
      <c r="M655" s="444"/>
      <c r="N655" s="444"/>
      <c r="O655" s="444"/>
      <c r="P655" s="444"/>
      <c r="Q655" s="444"/>
    </row>
    <row r="656" spans="6:17">
      <c r="F656" s="453"/>
      <c r="G656" s="444"/>
      <c r="H656" s="444"/>
      <c r="I656" s="444"/>
      <c r="J656" s="444"/>
      <c r="K656" s="444"/>
      <c r="L656" s="444"/>
      <c r="M656" s="444"/>
      <c r="N656" s="444"/>
      <c r="O656" s="444"/>
      <c r="P656" s="444"/>
      <c r="Q656" s="444"/>
    </row>
    <row r="657" spans="6:17">
      <c r="F657" s="453"/>
      <c r="G657" s="444"/>
      <c r="H657" s="444"/>
      <c r="I657" s="444"/>
      <c r="J657" s="444"/>
      <c r="K657" s="444"/>
      <c r="L657" s="444"/>
      <c r="M657" s="444"/>
      <c r="N657" s="444"/>
      <c r="O657" s="444"/>
      <c r="P657" s="444"/>
      <c r="Q657" s="444"/>
    </row>
    <row r="658" spans="6:17">
      <c r="F658" s="453"/>
      <c r="G658" s="444"/>
      <c r="H658" s="444"/>
      <c r="I658" s="444"/>
      <c r="J658" s="444"/>
      <c r="K658" s="444"/>
      <c r="L658" s="444"/>
      <c r="M658" s="444"/>
      <c r="N658" s="444"/>
      <c r="O658" s="444"/>
      <c r="P658" s="444"/>
      <c r="Q658" s="444"/>
    </row>
    <row r="659" spans="6:17">
      <c r="F659" s="453"/>
      <c r="G659" s="444"/>
      <c r="H659" s="444"/>
      <c r="I659" s="444"/>
      <c r="J659" s="444"/>
      <c r="K659" s="444"/>
      <c r="L659" s="444"/>
      <c r="M659" s="444"/>
      <c r="N659" s="444"/>
      <c r="O659" s="444"/>
      <c r="P659" s="444"/>
      <c r="Q659" s="444"/>
    </row>
    <row r="660" spans="6:17">
      <c r="F660" s="453"/>
      <c r="G660" s="444"/>
      <c r="H660" s="444"/>
      <c r="I660" s="444"/>
      <c r="J660" s="444"/>
      <c r="K660" s="444"/>
      <c r="L660" s="444"/>
      <c r="M660" s="444"/>
      <c r="N660" s="444"/>
      <c r="O660" s="444"/>
      <c r="P660" s="444"/>
      <c r="Q660" s="444"/>
    </row>
    <row r="661" spans="6:17">
      <c r="F661" s="453"/>
      <c r="G661" s="444"/>
      <c r="H661" s="444"/>
      <c r="I661" s="444"/>
      <c r="J661" s="444"/>
      <c r="K661" s="444"/>
      <c r="L661" s="444"/>
      <c r="M661" s="444"/>
      <c r="N661" s="444"/>
      <c r="O661" s="444"/>
      <c r="P661" s="444"/>
      <c r="Q661" s="444"/>
    </row>
    <row r="662" spans="6:17">
      <c r="F662" s="453"/>
      <c r="G662" s="444"/>
      <c r="H662" s="444"/>
      <c r="I662" s="444"/>
      <c r="J662" s="444"/>
      <c r="K662" s="444"/>
      <c r="L662" s="444"/>
      <c r="M662" s="444"/>
      <c r="N662" s="444"/>
      <c r="O662" s="444"/>
      <c r="P662" s="444"/>
      <c r="Q662" s="444"/>
    </row>
    <row r="663" spans="6:17">
      <c r="F663" s="453"/>
      <c r="G663" s="444"/>
      <c r="H663" s="444"/>
      <c r="I663" s="444"/>
      <c r="J663" s="444"/>
      <c r="K663" s="444"/>
      <c r="L663" s="444"/>
      <c r="M663" s="444"/>
      <c r="N663" s="444"/>
      <c r="O663" s="444"/>
      <c r="P663" s="444"/>
      <c r="Q663" s="444"/>
    </row>
    <row r="664" spans="6:17">
      <c r="F664" s="453"/>
      <c r="G664" s="444"/>
      <c r="H664" s="444"/>
      <c r="I664" s="444"/>
      <c r="J664" s="444"/>
      <c r="K664" s="444"/>
      <c r="L664" s="444"/>
      <c r="M664" s="444"/>
      <c r="N664" s="444"/>
      <c r="O664" s="444"/>
      <c r="P664" s="444"/>
      <c r="Q664" s="444"/>
    </row>
    <row r="665" spans="6:17">
      <c r="F665" s="453"/>
      <c r="G665" s="444"/>
      <c r="H665" s="444"/>
      <c r="I665" s="444"/>
      <c r="J665" s="444"/>
      <c r="K665" s="444"/>
      <c r="L665" s="444"/>
      <c r="M665" s="444"/>
      <c r="N665" s="444"/>
      <c r="O665" s="444"/>
      <c r="P665" s="444"/>
      <c r="Q665" s="444"/>
    </row>
    <row r="666" spans="6:17">
      <c r="F666" s="453"/>
      <c r="G666" s="444"/>
      <c r="H666" s="444"/>
      <c r="I666" s="444"/>
      <c r="J666" s="444"/>
      <c r="K666" s="444"/>
      <c r="L666" s="444"/>
      <c r="M666" s="444"/>
      <c r="N666" s="444"/>
      <c r="O666" s="444"/>
      <c r="P666" s="444"/>
      <c r="Q666" s="444"/>
    </row>
    <row r="667" spans="6:17">
      <c r="F667" s="453"/>
      <c r="G667" s="444"/>
      <c r="H667" s="444"/>
      <c r="I667" s="444"/>
      <c r="J667" s="444"/>
      <c r="K667" s="444"/>
      <c r="L667" s="444"/>
      <c r="M667" s="444"/>
      <c r="N667" s="444"/>
      <c r="O667" s="444"/>
      <c r="P667" s="444"/>
      <c r="Q667" s="444"/>
    </row>
    <row r="668" spans="6:17">
      <c r="F668" s="453"/>
      <c r="G668" s="444"/>
      <c r="H668" s="444"/>
      <c r="I668" s="444"/>
      <c r="J668" s="444"/>
      <c r="K668" s="444"/>
      <c r="L668" s="444"/>
      <c r="M668" s="444"/>
      <c r="N668" s="444"/>
      <c r="O668" s="444"/>
      <c r="P668" s="444"/>
      <c r="Q668" s="444"/>
    </row>
    <row r="669" spans="6:17">
      <c r="F669" s="453"/>
      <c r="G669" s="444"/>
      <c r="H669" s="444"/>
      <c r="I669" s="444"/>
      <c r="J669" s="444"/>
      <c r="K669" s="444"/>
      <c r="L669" s="444"/>
      <c r="M669" s="444"/>
      <c r="N669" s="444"/>
      <c r="O669" s="444"/>
      <c r="P669" s="444"/>
      <c r="Q669" s="444"/>
    </row>
    <row r="670" spans="6:17">
      <c r="F670" s="453"/>
      <c r="G670" s="444"/>
      <c r="H670" s="444"/>
      <c r="I670" s="444"/>
      <c r="J670" s="444"/>
      <c r="K670" s="444"/>
      <c r="L670" s="444"/>
      <c r="M670" s="444"/>
      <c r="N670" s="444"/>
      <c r="O670" s="444"/>
      <c r="P670" s="444"/>
      <c r="Q670" s="444"/>
    </row>
    <row r="671" spans="6:17">
      <c r="F671" s="453"/>
      <c r="G671" s="444"/>
      <c r="H671" s="444"/>
      <c r="I671" s="444"/>
      <c r="J671" s="444"/>
      <c r="K671" s="444"/>
      <c r="L671" s="444"/>
      <c r="M671" s="444"/>
      <c r="N671" s="444"/>
      <c r="O671" s="444"/>
      <c r="P671" s="444"/>
      <c r="Q671" s="444"/>
    </row>
    <row r="672" spans="6:17">
      <c r="F672" s="453"/>
      <c r="G672" s="444"/>
      <c r="H672" s="444"/>
      <c r="I672" s="444"/>
      <c r="J672" s="444"/>
      <c r="K672" s="444"/>
      <c r="L672" s="444"/>
      <c r="M672" s="444"/>
      <c r="N672" s="444"/>
      <c r="O672" s="444"/>
      <c r="P672" s="444"/>
      <c r="Q672" s="444"/>
    </row>
    <row r="673" spans="6:17">
      <c r="F673" s="453"/>
      <c r="G673" s="444"/>
      <c r="H673" s="444"/>
      <c r="I673" s="444"/>
      <c r="J673" s="444"/>
      <c r="K673" s="444"/>
      <c r="L673" s="444"/>
      <c r="M673" s="444"/>
      <c r="N673" s="444"/>
      <c r="O673" s="444"/>
      <c r="P673" s="444"/>
      <c r="Q673" s="444"/>
    </row>
    <row r="674" spans="6:17">
      <c r="F674" s="453"/>
      <c r="G674" s="444"/>
      <c r="H674" s="444"/>
      <c r="I674" s="444"/>
      <c r="J674" s="444"/>
      <c r="K674" s="444"/>
      <c r="L674" s="444"/>
      <c r="M674" s="444"/>
      <c r="N674" s="444"/>
      <c r="O674" s="444"/>
      <c r="P674" s="444"/>
      <c r="Q674" s="444"/>
    </row>
    <row r="675" spans="6:17">
      <c r="F675" s="453"/>
      <c r="G675" s="444"/>
      <c r="H675" s="444"/>
      <c r="I675" s="444"/>
      <c r="J675" s="444"/>
      <c r="K675" s="444"/>
      <c r="L675" s="444"/>
      <c r="M675" s="444"/>
      <c r="N675" s="444"/>
      <c r="O675" s="444"/>
      <c r="P675" s="444"/>
      <c r="Q675" s="444"/>
    </row>
    <row r="676" spans="6:17">
      <c r="F676" s="453"/>
      <c r="G676" s="444"/>
      <c r="H676" s="444"/>
      <c r="I676" s="444"/>
      <c r="J676" s="444"/>
      <c r="K676" s="444"/>
      <c r="L676" s="444"/>
      <c r="M676" s="444"/>
      <c r="N676" s="444"/>
      <c r="O676" s="444"/>
      <c r="P676" s="444"/>
      <c r="Q676" s="444"/>
    </row>
    <row r="677" spans="6:17">
      <c r="F677" s="453"/>
      <c r="G677" s="444"/>
      <c r="H677" s="444"/>
      <c r="I677" s="444"/>
      <c r="J677" s="444"/>
      <c r="K677" s="444"/>
      <c r="L677" s="444"/>
      <c r="M677" s="444"/>
      <c r="N677" s="444"/>
      <c r="O677" s="444"/>
      <c r="P677" s="444"/>
      <c r="Q677" s="444"/>
    </row>
    <row r="678" spans="6:17">
      <c r="F678" s="453"/>
      <c r="G678" s="444"/>
      <c r="H678" s="444"/>
      <c r="I678" s="444"/>
      <c r="J678" s="444"/>
      <c r="K678" s="444"/>
      <c r="L678" s="444"/>
      <c r="M678" s="444"/>
      <c r="N678" s="444"/>
      <c r="O678" s="444"/>
      <c r="P678" s="444"/>
      <c r="Q678" s="444"/>
    </row>
    <row r="679" spans="6:17">
      <c r="F679" s="453"/>
      <c r="G679" s="444"/>
      <c r="H679" s="444"/>
      <c r="I679" s="444"/>
      <c r="J679" s="444"/>
      <c r="K679" s="444"/>
      <c r="L679" s="444"/>
      <c r="M679" s="444"/>
      <c r="N679" s="444"/>
      <c r="O679" s="444"/>
      <c r="P679" s="444"/>
      <c r="Q679" s="444"/>
    </row>
    <row r="680" spans="6:17">
      <c r="F680" s="453"/>
      <c r="G680" s="444"/>
      <c r="H680" s="444"/>
      <c r="I680" s="444"/>
      <c r="J680" s="444"/>
      <c r="K680" s="444"/>
      <c r="L680" s="444"/>
      <c r="M680" s="444"/>
      <c r="N680" s="444"/>
      <c r="O680" s="444"/>
      <c r="P680" s="444"/>
      <c r="Q680" s="444"/>
    </row>
    <row r="681" spans="6:17">
      <c r="F681" s="453"/>
      <c r="G681" s="444"/>
      <c r="H681" s="444"/>
      <c r="I681" s="444"/>
      <c r="J681" s="444"/>
      <c r="K681" s="444"/>
      <c r="L681" s="444"/>
      <c r="M681" s="444"/>
      <c r="N681" s="444"/>
      <c r="O681" s="444"/>
      <c r="P681" s="444"/>
      <c r="Q681" s="444"/>
    </row>
    <row r="682" spans="6:17">
      <c r="F682" s="453"/>
      <c r="G682" s="444"/>
      <c r="H682" s="444"/>
      <c r="I682" s="444"/>
      <c r="J682" s="444"/>
      <c r="K682" s="444"/>
      <c r="L682" s="444"/>
      <c r="M682" s="444"/>
      <c r="N682" s="444"/>
      <c r="O682" s="444"/>
      <c r="P682" s="444"/>
      <c r="Q682" s="444"/>
    </row>
    <row r="683" spans="6:17">
      <c r="F683" s="453"/>
      <c r="G683" s="444"/>
      <c r="H683" s="444"/>
      <c r="I683" s="444"/>
      <c r="J683" s="444"/>
      <c r="K683" s="444"/>
      <c r="L683" s="444"/>
      <c r="M683" s="444"/>
      <c r="N683" s="444"/>
      <c r="O683" s="444"/>
      <c r="P683" s="444"/>
      <c r="Q683" s="444"/>
    </row>
    <row r="684" spans="6:17">
      <c r="F684" s="453"/>
      <c r="G684" s="444"/>
      <c r="H684" s="444"/>
      <c r="I684" s="444"/>
      <c r="J684" s="444"/>
      <c r="K684" s="444"/>
      <c r="L684" s="444"/>
      <c r="M684" s="444"/>
      <c r="N684" s="444"/>
      <c r="O684" s="444"/>
      <c r="P684" s="444"/>
      <c r="Q684" s="444"/>
    </row>
    <row r="685" spans="6:17">
      <c r="F685" s="453"/>
      <c r="G685" s="444"/>
      <c r="H685" s="444"/>
      <c r="I685" s="444"/>
      <c r="J685" s="444"/>
      <c r="K685" s="444"/>
      <c r="L685" s="444"/>
      <c r="M685" s="444"/>
      <c r="N685" s="444"/>
      <c r="O685" s="444"/>
      <c r="P685" s="444"/>
      <c r="Q685" s="444"/>
    </row>
    <row r="686" spans="6:17">
      <c r="F686" s="453"/>
      <c r="G686" s="444"/>
      <c r="H686" s="444"/>
      <c r="I686" s="444"/>
      <c r="J686" s="444"/>
      <c r="K686" s="444"/>
      <c r="L686" s="444"/>
      <c r="M686" s="444"/>
      <c r="N686" s="444"/>
      <c r="O686" s="444"/>
      <c r="P686" s="444"/>
      <c r="Q686" s="444"/>
    </row>
    <row r="687" spans="6:17">
      <c r="F687" s="453"/>
      <c r="G687" s="444"/>
      <c r="H687" s="444"/>
      <c r="I687" s="444"/>
      <c r="J687" s="444"/>
      <c r="K687" s="444"/>
      <c r="L687" s="444"/>
      <c r="M687" s="444"/>
      <c r="N687" s="444"/>
      <c r="O687" s="444"/>
      <c r="P687" s="444"/>
      <c r="Q687" s="444"/>
    </row>
    <row r="688" spans="6:17">
      <c r="F688" s="453"/>
      <c r="G688" s="444"/>
      <c r="H688" s="444"/>
      <c r="I688" s="444"/>
      <c r="J688" s="444"/>
      <c r="K688" s="444"/>
      <c r="L688" s="444"/>
      <c r="M688" s="444"/>
      <c r="N688" s="444"/>
      <c r="O688" s="444"/>
      <c r="P688" s="444"/>
      <c r="Q688" s="444"/>
    </row>
    <row r="689" spans="6:17">
      <c r="F689" s="453"/>
      <c r="G689" s="444"/>
      <c r="H689" s="444"/>
      <c r="I689" s="444"/>
      <c r="J689" s="444"/>
      <c r="K689" s="444"/>
      <c r="L689" s="444"/>
      <c r="M689" s="444"/>
      <c r="N689" s="444"/>
      <c r="O689" s="444"/>
      <c r="P689" s="444"/>
      <c r="Q689" s="444"/>
    </row>
    <row r="690" spans="6:17">
      <c r="F690" s="453"/>
      <c r="G690" s="444"/>
      <c r="H690" s="444"/>
      <c r="I690" s="444"/>
      <c r="J690" s="444"/>
      <c r="K690" s="444"/>
      <c r="L690" s="444"/>
      <c r="M690" s="444"/>
      <c r="N690" s="444"/>
      <c r="O690" s="444"/>
      <c r="P690" s="444"/>
      <c r="Q690" s="444"/>
    </row>
    <row r="691" spans="6:17">
      <c r="F691" s="453"/>
      <c r="G691" s="444"/>
      <c r="H691" s="444"/>
      <c r="I691" s="444"/>
      <c r="J691" s="444"/>
      <c r="K691" s="444"/>
      <c r="L691" s="444"/>
      <c r="M691" s="444"/>
      <c r="N691" s="444"/>
      <c r="O691" s="444"/>
      <c r="P691" s="444"/>
      <c r="Q691" s="444"/>
    </row>
    <row r="692" spans="6:17">
      <c r="F692" s="453"/>
      <c r="G692" s="444"/>
      <c r="H692" s="444"/>
      <c r="I692" s="444"/>
      <c r="J692" s="444"/>
      <c r="K692" s="444"/>
      <c r="L692" s="444"/>
      <c r="M692" s="444"/>
      <c r="N692" s="444"/>
      <c r="O692" s="444"/>
      <c r="P692" s="444"/>
      <c r="Q692" s="444"/>
    </row>
    <row r="693" spans="6:17">
      <c r="F693" s="453"/>
      <c r="G693" s="444"/>
      <c r="H693" s="444"/>
      <c r="I693" s="444"/>
      <c r="J693" s="444"/>
      <c r="K693" s="444"/>
      <c r="L693" s="444"/>
      <c r="M693" s="444"/>
      <c r="N693" s="444"/>
      <c r="O693" s="444"/>
      <c r="P693" s="444"/>
      <c r="Q693" s="444"/>
    </row>
    <row r="694" spans="6:17">
      <c r="F694" s="453"/>
      <c r="G694" s="444"/>
      <c r="H694" s="444"/>
      <c r="I694" s="444"/>
      <c r="J694" s="444"/>
      <c r="K694" s="444"/>
      <c r="L694" s="444"/>
      <c r="M694" s="444"/>
      <c r="N694" s="444"/>
      <c r="O694" s="444"/>
      <c r="P694" s="444"/>
      <c r="Q694" s="444"/>
    </row>
    <row r="695" spans="6:17">
      <c r="F695" s="453"/>
      <c r="G695" s="444"/>
      <c r="H695" s="444"/>
      <c r="I695" s="444"/>
      <c r="J695" s="444"/>
      <c r="K695" s="444"/>
      <c r="L695" s="444"/>
      <c r="M695" s="444"/>
      <c r="N695" s="444"/>
      <c r="O695" s="444"/>
      <c r="P695" s="444"/>
      <c r="Q695" s="444"/>
    </row>
    <row r="696" spans="6:17">
      <c r="F696" s="453"/>
      <c r="G696" s="444"/>
      <c r="H696" s="444"/>
      <c r="I696" s="444"/>
      <c r="J696" s="444"/>
      <c r="K696" s="444"/>
      <c r="L696" s="444"/>
      <c r="M696" s="444"/>
      <c r="N696" s="444"/>
      <c r="O696" s="444"/>
      <c r="P696" s="444"/>
      <c r="Q696" s="444"/>
    </row>
    <row r="697" spans="6:17">
      <c r="F697" s="453"/>
      <c r="G697" s="444"/>
      <c r="H697" s="444"/>
      <c r="I697" s="444"/>
      <c r="J697" s="444"/>
      <c r="K697" s="444"/>
      <c r="L697" s="444"/>
      <c r="M697" s="444"/>
      <c r="N697" s="444"/>
      <c r="O697" s="444"/>
      <c r="P697" s="444"/>
      <c r="Q697" s="444"/>
    </row>
    <row r="698" spans="6:17">
      <c r="F698" s="453"/>
      <c r="G698" s="444"/>
      <c r="H698" s="444"/>
      <c r="I698" s="444"/>
      <c r="J698" s="444"/>
      <c r="K698" s="444"/>
      <c r="L698" s="444"/>
      <c r="M698" s="444"/>
      <c r="N698" s="444"/>
      <c r="O698" s="444"/>
      <c r="P698" s="444"/>
      <c r="Q698" s="444"/>
    </row>
    <row r="699" spans="6:17">
      <c r="F699" s="453"/>
      <c r="G699" s="444"/>
      <c r="H699" s="444"/>
      <c r="I699" s="444"/>
      <c r="J699" s="444"/>
      <c r="K699" s="444"/>
      <c r="L699" s="444"/>
      <c r="M699" s="444"/>
      <c r="N699" s="444"/>
      <c r="O699" s="444"/>
      <c r="P699" s="444"/>
      <c r="Q699" s="444"/>
    </row>
    <row r="700" spans="6:17">
      <c r="F700" s="453"/>
      <c r="G700" s="444"/>
      <c r="H700" s="444"/>
      <c r="I700" s="444"/>
      <c r="J700" s="444"/>
      <c r="K700" s="444"/>
      <c r="L700" s="444"/>
      <c r="M700" s="444"/>
      <c r="N700" s="444"/>
      <c r="O700" s="444"/>
      <c r="P700" s="444"/>
      <c r="Q700" s="444"/>
    </row>
    <row r="701" spans="6:17">
      <c r="F701" s="453"/>
      <c r="G701" s="444"/>
      <c r="H701" s="444"/>
      <c r="I701" s="444"/>
      <c r="J701" s="444"/>
      <c r="K701" s="444"/>
      <c r="L701" s="444"/>
      <c r="M701" s="444"/>
      <c r="N701" s="444"/>
      <c r="O701" s="444"/>
      <c r="P701" s="444"/>
      <c r="Q701" s="444"/>
    </row>
    <row r="702" spans="6:17">
      <c r="F702" s="453"/>
      <c r="G702" s="444"/>
      <c r="H702" s="444"/>
      <c r="I702" s="444"/>
      <c r="J702" s="444"/>
      <c r="K702" s="444"/>
      <c r="L702" s="444"/>
      <c r="M702" s="444"/>
      <c r="N702" s="444"/>
      <c r="O702" s="444"/>
      <c r="P702" s="444"/>
      <c r="Q702" s="444"/>
    </row>
    <row r="703" spans="6:17">
      <c r="F703" s="453"/>
      <c r="G703" s="444"/>
      <c r="H703" s="444"/>
      <c r="I703" s="444"/>
      <c r="J703" s="444"/>
      <c r="K703" s="444"/>
      <c r="L703" s="444"/>
      <c r="M703" s="444"/>
      <c r="N703" s="444"/>
      <c r="O703" s="444"/>
      <c r="P703" s="444"/>
      <c r="Q703" s="444"/>
    </row>
    <row r="704" spans="6:17">
      <c r="F704" s="453"/>
      <c r="G704" s="444"/>
      <c r="H704" s="444"/>
      <c r="I704" s="444"/>
      <c r="J704" s="444"/>
      <c r="K704" s="444"/>
      <c r="L704" s="444"/>
      <c r="M704" s="444"/>
      <c r="N704" s="444"/>
      <c r="O704" s="444"/>
      <c r="P704" s="444"/>
      <c r="Q704" s="444"/>
    </row>
    <row r="705" spans="6:17">
      <c r="F705" s="453"/>
      <c r="G705" s="444"/>
      <c r="H705" s="444"/>
      <c r="I705" s="444"/>
      <c r="J705" s="444"/>
      <c r="K705" s="444"/>
      <c r="L705" s="444"/>
      <c r="M705" s="444"/>
      <c r="N705" s="444"/>
      <c r="O705" s="444"/>
      <c r="P705" s="444"/>
      <c r="Q705" s="444"/>
    </row>
    <row r="706" spans="6:17">
      <c r="F706" s="453"/>
      <c r="G706" s="444"/>
      <c r="H706" s="444"/>
      <c r="I706" s="444"/>
      <c r="J706" s="444"/>
      <c r="K706" s="444"/>
      <c r="L706" s="444"/>
      <c r="M706" s="444"/>
      <c r="N706" s="444"/>
      <c r="O706" s="444"/>
      <c r="P706" s="444"/>
      <c r="Q706" s="444"/>
    </row>
    <row r="707" spans="6:17">
      <c r="F707" s="453"/>
      <c r="G707" s="444"/>
      <c r="H707" s="444"/>
      <c r="I707" s="444"/>
      <c r="J707" s="444"/>
      <c r="K707" s="444"/>
      <c r="L707" s="444"/>
      <c r="M707" s="444"/>
      <c r="N707" s="444"/>
      <c r="O707" s="444"/>
      <c r="P707" s="444"/>
      <c r="Q707" s="444"/>
    </row>
    <row r="708" spans="6:17">
      <c r="F708" s="453"/>
      <c r="G708" s="444"/>
      <c r="H708" s="444"/>
      <c r="I708" s="444"/>
      <c r="J708" s="444"/>
      <c r="K708" s="444"/>
      <c r="L708" s="444"/>
      <c r="M708" s="444"/>
      <c r="N708" s="444"/>
      <c r="O708" s="444"/>
      <c r="P708" s="444"/>
      <c r="Q708" s="444"/>
    </row>
    <row r="709" spans="6:17">
      <c r="F709" s="453"/>
      <c r="G709" s="444"/>
      <c r="H709" s="444"/>
      <c r="I709" s="444"/>
      <c r="J709" s="444"/>
      <c r="K709" s="444"/>
      <c r="L709" s="444"/>
      <c r="M709" s="444"/>
      <c r="N709" s="444"/>
      <c r="O709" s="444"/>
      <c r="P709" s="444"/>
      <c r="Q709" s="444"/>
    </row>
    <row r="710" spans="6:17">
      <c r="F710" s="453"/>
      <c r="G710" s="444"/>
      <c r="H710" s="444"/>
      <c r="I710" s="444"/>
      <c r="J710" s="444"/>
      <c r="K710" s="444"/>
      <c r="L710" s="444"/>
      <c r="M710" s="444"/>
      <c r="N710" s="444"/>
      <c r="O710" s="444"/>
      <c r="P710" s="444"/>
      <c r="Q710" s="444"/>
    </row>
    <row r="711" spans="6:17">
      <c r="F711" s="453"/>
      <c r="G711" s="444"/>
      <c r="H711" s="444"/>
      <c r="I711" s="444"/>
      <c r="J711" s="444"/>
      <c r="K711" s="444"/>
      <c r="L711" s="444"/>
      <c r="M711" s="444"/>
      <c r="N711" s="444"/>
      <c r="O711" s="444"/>
      <c r="P711" s="444"/>
      <c r="Q711" s="444"/>
    </row>
    <row r="712" spans="6:17">
      <c r="F712" s="453"/>
      <c r="G712" s="444"/>
      <c r="H712" s="444"/>
      <c r="I712" s="444"/>
      <c r="J712" s="444"/>
      <c r="K712" s="444"/>
      <c r="L712" s="444"/>
      <c r="M712" s="444"/>
      <c r="N712" s="444"/>
      <c r="O712" s="444"/>
      <c r="P712" s="444"/>
      <c r="Q712" s="444"/>
    </row>
    <row r="713" spans="6:17">
      <c r="F713" s="453"/>
      <c r="G713" s="444"/>
      <c r="H713" s="444"/>
      <c r="I713" s="444"/>
      <c r="J713" s="444"/>
      <c r="K713" s="444"/>
      <c r="L713" s="444"/>
      <c r="M713" s="444"/>
      <c r="N713" s="444"/>
      <c r="O713" s="444"/>
      <c r="P713" s="444"/>
      <c r="Q713" s="444"/>
    </row>
    <row r="714" spans="6:17">
      <c r="F714" s="453"/>
      <c r="G714" s="444"/>
      <c r="H714" s="444"/>
      <c r="I714" s="444"/>
      <c r="J714" s="444"/>
      <c r="K714" s="444"/>
      <c r="L714" s="444"/>
      <c r="M714" s="444"/>
      <c r="N714" s="444"/>
      <c r="O714" s="444"/>
      <c r="P714" s="444"/>
      <c r="Q714" s="444"/>
    </row>
    <row r="715" spans="6:17">
      <c r="F715" s="453"/>
      <c r="G715" s="444"/>
      <c r="H715" s="444"/>
      <c r="I715" s="444"/>
      <c r="J715" s="444"/>
      <c r="K715" s="444"/>
      <c r="L715" s="444"/>
      <c r="M715" s="444"/>
      <c r="N715" s="444"/>
      <c r="O715" s="444"/>
      <c r="P715" s="444"/>
      <c r="Q715" s="444"/>
    </row>
    <row r="716" spans="6:17">
      <c r="F716" s="453"/>
      <c r="G716" s="444"/>
      <c r="H716" s="444"/>
      <c r="I716" s="444"/>
      <c r="J716" s="444"/>
      <c r="K716" s="444"/>
      <c r="L716" s="444"/>
      <c r="M716" s="444"/>
      <c r="N716" s="444"/>
      <c r="O716" s="444"/>
      <c r="P716" s="444"/>
      <c r="Q716" s="444"/>
    </row>
    <row r="717" spans="6:17">
      <c r="F717" s="453"/>
      <c r="G717" s="444"/>
      <c r="H717" s="444"/>
      <c r="I717" s="444"/>
      <c r="J717" s="444"/>
      <c r="K717" s="444"/>
      <c r="L717" s="444"/>
      <c r="M717" s="444"/>
      <c r="N717" s="444"/>
      <c r="O717" s="444"/>
      <c r="P717" s="444"/>
      <c r="Q717" s="444"/>
    </row>
    <row r="718" spans="6:17">
      <c r="F718" s="453"/>
      <c r="G718" s="444"/>
      <c r="H718" s="444"/>
      <c r="I718" s="444"/>
      <c r="J718" s="444"/>
      <c r="K718" s="444"/>
      <c r="L718" s="444"/>
      <c r="M718" s="444"/>
      <c r="N718" s="444"/>
      <c r="O718" s="444"/>
      <c r="P718" s="444"/>
      <c r="Q718" s="444"/>
    </row>
    <row r="719" spans="6:17">
      <c r="F719" s="453"/>
      <c r="G719" s="444"/>
      <c r="H719" s="444"/>
      <c r="I719" s="444"/>
      <c r="J719" s="444"/>
      <c r="K719" s="444"/>
      <c r="L719" s="444"/>
      <c r="M719" s="444"/>
      <c r="N719" s="444"/>
      <c r="O719" s="444"/>
      <c r="P719" s="444"/>
      <c r="Q719" s="444"/>
    </row>
    <row r="720" spans="6:17">
      <c r="F720" s="453"/>
      <c r="G720" s="444"/>
      <c r="H720" s="444"/>
      <c r="I720" s="444"/>
      <c r="J720" s="444"/>
      <c r="K720" s="444"/>
      <c r="L720" s="444"/>
      <c r="M720" s="444"/>
      <c r="N720" s="444"/>
      <c r="O720" s="444"/>
      <c r="P720" s="444"/>
      <c r="Q720" s="444"/>
    </row>
    <row r="721" spans="6:17">
      <c r="F721" s="453"/>
      <c r="G721" s="444"/>
      <c r="H721" s="444"/>
      <c r="I721" s="444"/>
      <c r="J721" s="444"/>
      <c r="K721" s="444"/>
      <c r="L721" s="444"/>
      <c r="M721" s="444"/>
      <c r="N721" s="444"/>
      <c r="O721" s="444"/>
      <c r="P721" s="444"/>
      <c r="Q721" s="444"/>
    </row>
    <row r="722" spans="6:17">
      <c r="F722" s="453"/>
      <c r="G722" s="444"/>
      <c r="H722" s="444"/>
      <c r="I722" s="444"/>
      <c r="J722" s="444"/>
      <c r="K722" s="444"/>
      <c r="L722" s="444"/>
      <c r="M722" s="444"/>
      <c r="N722" s="444"/>
      <c r="O722" s="444"/>
      <c r="P722" s="444"/>
      <c r="Q722" s="444"/>
    </row>
    <row r="723" spans="6:17">
      <c r="F723" s="453"/>
      <c r="G723" s="444"/>
      <c r="H723" s="444"/>
      <c r="I723" s="444"/>
      <c r="J723" s="444"/>
      <c r="K723" s="444"/>
      <c r="L723" s="444"/>
      <c r="M723" s="444"/>
      <c r="N723" s="444"/>
      <c r="O723" s="444"/>
      <c r="P723" s="444"/>
      <c r="Q723" s="444"/>
    </row>
    <row r="724" spans="6:17">
      <c r="F724" s="453"/>
      <c r="G724" s="444"/>
      <c r="H724" s="444"/>
      <c r="I724" s="444"/>
      <c r="J724" s="444"/>
      <c r="K724" s="444"/>
      <c r="L724" s="444"/>
      <c r="M724" s="444"/>
      <c r="N724" s="444"/>
      <c r="O724" s="444"/>
      <c r="P724" s="444"/>
      <c r="Q724" s="444"/>
    </row>
    <row r="725" spans="6:17">
      <c r="F725" s="453"/>
      <c r="G725" s="444"/>
      <c r="H725" s="444"/>
      <c r="I725" s="444"/>
      <c r="J725" s="444"/>
      <c r="K725" s="444"/>
      <c r="L725" s="444"/>
      <c r="M725" s="444"/>
      <c r="N725" s="444"/>
      <c r="O725" s="444"/>
      <c r="P725" s="444"/>
      <c r="Q725" s="444"/>
    </row>
    <row r="726" spans="6:17">
      <c r="F726" s="453"/>
      <c r="G726" s="444"/>
      <c r="H726" s="444"/>
      <c r="I726" s="444"/>
      <c r="J726" s="444"/>
      <c r="K726" s="444"/>
      <c r="L726" s="444"/>
      <c r="M726" s="444"/>
      <c r="N726" s="444"/>
      <c r="O726" s="444"/>
      <c r="P726" s="444"/>
      <c r="Q726" s="444"/>
    </row>
    <row r="727" spans="6:17">
      <c r="F727" s="453"/>
      <c r="G727" s="444"/>
      <c r="H727" s="444"/>
      <c r="I727" s="444"/>
      <c r="J727" s="444"/>
      <c r="K727" s="444"/>
      <c r="L727" s="444"/>
      <c r="M727" s="444"/>
      <c r="N727" s="444"/>
      <c r="O727" s="444"/>
      <c r="P727" s="444"/>
      <c r="Q727" s="444"/>
    </row>
    <row r="728" spans="6:17">
      <c r="F728" s="453"/>
      <c r="G728" s="444"/>
      <c r="H728" s="444"/>
      <c r="I728" s="444"/>
      <c r="J728" s="444"/>
      <c r="K728" s="444"/>
      <c r="L728" s="444"/>
      <c r="M728" s="444"/>
      <c r="N728" s="444"/>
      <c r="O728" s="444"/>
      <c r="P728" s="444"/>
      <c r="Q728" s="444"/>
    </row>
    <row r="729" spans="6:17">
      <c r="F729" s="453"/>
      <c r="G729" s="444"/>
      <c r="H729" s="444"/>
      <c r="I729" s="444"/>
      <c r="J729" s="444"/>
      <c r="K729" s="444"/>
      <c r="L729" s="444"/>
      <c r="M729" s="444"/>
      <c r="N729" s="444"/>
      <c r="O729" s="444"/>
      <c r="P729" s="444"/>
      <c r="Q729" s="444"/>
    </row>
    <row r="730" spans="6:17">
      <c r="F730" s="453"/>
      <c r="G730" s="444"/>
      <c r="H730" s="444"/>
      <c r="I730" s="444"/>
      <c r="J730" s="444"/>
      <c r="K730" s="444"/>
      <c r="L730" s="444"/>
      <c r="M730" s="444"/>
      <c r="N730" s="444"/>
      <c r="O730" s="444"/>
      <c r="P730" s="444"/>
      <c r="Q730" s="444"/>
    </row>
    <row r="731" spans="6:17">
      <c r="F731" s="453"/>
      <c r="G731" s="444"/>
      <c r="H731" s="444"/>
      <c r="I731" s="444"/>
      <c r="J731" s="444"/>
      <c r="K731" s="444"/>
      <c r="L731" s="444"/>
      <c r="M731" s="444"/>
      <c r="N731" s="444"/>
      <c r="O731" s="444"/>
      <c r="P731" s="444"/>
      <c r="Q731" s="444"/>
    </row>
    <row r="732" spans="6:17">
      <c r="F732" s="453"/>
      <c r="G732" s="444"/>
      <c r="H732" s="444"/>
      <c r="I732" s="444"/>
      <c r="J732" s="444"/>
      <c r="K732" s="444"/>
      <c r="L732" s="444"/>
      <c r="M732" s="444"/>
      <c r="N732" s="444"/>
      <c r="O732" s="444"/>
      <c r="P732" s="444"/>
      <c r="Q732" s="444"/>
    </row>
    <row r="733" spans="6:17">
      <c r="F733" s="453"/>
      <c r="G733" s="444"/>
      <c r="H733" s="444"/>
      <c r="I733" s="444"/>
      <c r="J733" s="444"/>
      <c r="K733" s="444"/>
      <c r="L733" s="444"/>
      <c r="M733" s="444"/>
      <c r="N733" s="444"/>
      <c r="O733" s="444"/>
      <c r="P733" s="444"/>
      <c r="Q733" s="444"/>
    </row>
    <row r="734" spans="6:17">
      <c r="F734" s="453"/>
      <c r="G734" s="444"/>
      <c r="H734" s="444"/>
      <c r="I734" s="444"/>
      <c r="J734" s="444"/>
      <c r="K734" s="444"/>
      <c r="L734" s="444"/>
      <c r="M734" s="444"/>
      <c r="N734" s="444"/>
      <c r="O734" s="444"/>
      <c r="P734" s="444"/>
      <c r="Q734" s="444"/>
    </row>
    <row r="735" spans="6:17">
      <c r="F735" s="453"/>
      <c r="G735" s="444"/>
      <c r="H735" s="444"/>
      <c r="I735" s="444"/>
      <c r="J735" s="444"/>
      <c r="K735" s="444"/>
      <c r="L735" s="444"/>
      <c r="M735" s="444"/>
      <c r="N735" s="444"/>
      <c r="O735" s="444"/>
      <c r="P735" s="444"/>
      <c r="Q735" s="444"/>
    </row>
    <row r="736" spans="6:17">
      <c r="F736" s="453"/>
      <c r="G736" s="444"/>
      <c r="H736" s="444"/>
      <c r="I736" s="444"/>
      <c r="J736" s="444"/>
      <c r="K736" s="444"/>
      <c r="L736" s="444"/>
      <c r="M736" s="444"/>
      <c r="N736" s="444"/>
      <c r="O736" s="444"/>
      <c r="P736" s="444"/>
      <c r="Q736" s="444"/>
    </row>
    <row r="737" spans="6:17">
      <c r="F737" s="453"/>
      <c r="G737" s="444"/>
      <c r="H737" s="444"/>
      <c r="I737" s="444"/>
      <c r="J737" s="444"/>
      <c r="K737" s="444"/>
      <c r="L737" s="444"/>
      <c r="M737" s="444"/>
      <c r="N737" s="444"/>
      <c r="O737" s="444"/>
      <c r="P737" s="444"/>
      <c r="Q737" s="444"/>
    </row>
    <row r="738" spans="6:17">
      <c r="F738" s="453"/>
      <c r="G738" s="444"/>
      <c r="H738" s="444"/>
      <c r="I738" s="444"/>
      <c r="J738" s="444"/>
      <c r="K738" s="444"/>
      <c r="L738" s="444"/>
      <c r="M738" s="444"/>
      <c r="N738" s="444"/>
      <c r="O738" s="444"/>
      <c r="P738" s="444"/>
      <c r="Q738" s="444"/>
    </row>
    <row r="739" spans="6:17">
      <c r="F739" s="453"/>
      <c r="G739" s="444"/>
      <c r="H739" s="444"/>
      <c r="I739" s="444"/>
      <c r="J739" s="444"/>
      <c r="K739" s="444"/>
      <c r="L739" s="444"/>
      <c r="M739" s="444"/>
      <c r="N739" s="444"/>
      <c r="O739" s="444"/>
      <c r="P739" s="444"/>
      <c r="Q739" s="444"/>
    </row>
    <row r="740" spans="6:17">
      <c r="F740" s="453"/>
      <c r="G740" s="444"/>
      <c r="H740" s="444"/>
      <c r="I740" s="444"/>
      <c r="J740" s="444"/>
      <c r="K740" s="444"/>
      <c r="L740" s="444"/>
      <c r="M740" s="444"/>
      <c r="N740" s="444"/>
      <c r="O740" s="444"/>
      <c r="P740" s="444"/>
      <c r="Q740" s="444"/>
    </row>
    <row r="741" spans="6:17">
      <c r="F741" s="453"/>
      <c r="G741" s="444"/>
      <c r="H741" s="444"/>
      <c r="I741" s="444"/>
      <c r="J741" s="444"/>
      <c r="K741" s="444"/>
      <c r="L741" s="444"/>
      <c r="M741" s="444"/>
      <c r="N741" s="444"/>
      <c r="O741" s="444"/>
      <c r="P741" s="444"/>
      <c r="Q741" s="444"/>
    </row>
    <row r="742" spans="6:17">
      <c r="F742" s="453"/>
      <c r="G742" s="444"/>
      <c r="H742" s="444"/>
      <c r="I742" s="444"/>
      <c r="J742" s="444"/>
      <c r="K742" s="444"/>
      <c r="L742" s="444"/>
      <c r="M742" s="444"/>
      <c r="N742" s="444"/>
      <c r="O742" s="444"/>
      <c r="P742" s="444"/>
      <c r="Q742" s="444"/>
    </row>
    <row r="743" spans="6:17">
      <c r="F743" s="453"/>
      <c r="G743" s="444"/>
      <c r="H743" s="444"/>
      <c r="I743" s="444"/>
      <c r="J743" s="444"/>
      <c r="K743" s="444"/>
      <c r="L743" s="444"/>
      <c r="M743" s="444"/>
      <c r="N743" s="444"/>
      <c r="O743" s="444"/>
      <c r="P743" s="444"/>
      <c r="Q743" s="444"/>
    </row>
    <row r="744" spans="6:17">
      <c r="F744" s="453"/>
      <c r="G744" s="444"/>
      <c r="H744" s="444"/>
      <c r="I744" s="444"/>
      <c r="J744" s="444"/>
      <c r="K744" s="444"/>
      <c r="L744" s="444"/>
      <c r="M744" s="444"/>
      <c r="N744" s="444"/>
      <c r="O744" s="444"/>
      <c r="P744" s="444"/>
      <c r="Q744" s="444"/>
    </row>
    <row r="745" spans="6:17">
      <c r="F745" s="453"/>
      <c r="G745" s="444"/>
      <c r="H745" s="444"/>
      <c r="I745" s="444"/>
      <c r="J745" s="444"/>
      <c r="K745" s="444"/>
      <c r="L745" s="444"/>
      <c r="M745" s="444"/>
      <c r="N745" s="444"/>
      <c r="O745" s="444"/>
      <c r="P745" s="444"/>
      <c r="Q745" s="444"/>
    </row>
    <row r="746" spans="6:17">
      <c r="F746" s="453"/>
      <c r="G746" s="444"/>
      <c r="H746" s="444"/>
      <c r="I746" s="444"/>
      <c r="J746" s="444"/>
      <c r="K746" s="444"/>
      <c r="L746" s="444"/>
      <c r="M746" s="444"/>
      <c r="N746" s="444"/>
      <c r="O746" s="444"/>
      <c r="P746" s="444"/>
      <c r="Q746" s="444"/>
    </row>
    <row r="747" spans="6:17">
      <c r="F747" s="453"/>
      <c r="G747" s="444"/>
      <c r="H747" s="444"/>
      <c r="I747" s="444"/>
      <c r="J747" s="444"/>
      <c r="K747" s="444"/>
      <c r="L747" s="444"/>
      <c r="M747" s="444"/>
      <c r="N747" s="444"/>
      <c r="O747" s="444"/>
      <c r="P747" s="444"/>
      <c r="Q747" s="444"/>
    </row>
    <row r="748" spans="6:17">
      <c r="F748" s="453"/>
      <c r="G748" s="444"/>
      <c r="H748" s="444"/>
      <c r="I748" s="444"/>
      <c r="J748" s="444"/>
      <c r="K748" s="444"/>
      <c r="L748" s="444"/>
      <c r="M748" s="444"/>
      <c r="N748" s="444"/>
      <c r="O748" s="444"/>
      <c r="P748" s="444"/>
      <c r="Q748" s="444"/>
    </row>
    <row r="749" spans="6:17">
      <c r="F749" s="453"/>
      <c r="G749" s="444"/>
      <c r="H749" s="444"/>
      <c r="I749" s="444"/>
      <c r="J749" s="444"/>
      <c r="K749" s="444"/>
      <c r="L749" s="444"/>
      <c r="M749" s="444"/>
      <c r="N749" s="444"/>
      <c r="O749" s="444"/>
      <c r="P749" s="444"/>
      <c r="Q749" s="444"/>
    </row>
    <row r="750" spans="6:17">
      <c r="F750" s="453"/>
      <c r="G750" s="444"/>
      <c r="H750" s="444"/>
      <c r="I750" s="444"/>
      <c r="J750" s="444"/>
      <c r="K750" s="444"/>
      <c r="L750" s="444"/>
      <c r="M750" s="444"/>
      <c r="N750" s="444"/>
      <c r="O750" s="444"/>
      <c r="P750" s="444"/>
      <c r="Q750" s="444"/>
    </row>
    <row r="751" spans="6:17">
      <c r="F751" s="453"/>
      <c r="G751" s="444"/>
      <c r="H751" s="444"/>
      <c r="I751" s="444"/>
      <c r="J751" s="444"/>
      <c r="K751" s="444"/>
      <c r="L751" s="444"/>
      <c r="M751" s="444"/>
      <c r="N751" s="444"/>
      <c r="O751" s="444"/>
      <c r="P751" s="444"/>
      <c r="Q751" s="444"/>
    </row>
    <row r="752" spans="6:17">
      <c r="F752" s="453"/>
      <c r="G752" s="444"/>
      <c r="H752" s="444"/>
      <c r="I752" s="444"/>
      <c r="J752" s="444"/>
      <c r="K752" s="444"/>
      <c r="L752" s="444"/>
      <c r="M752" s="444"/>
      <c r="N752" s="444"/>
      <c r="O752" s="444"/>
      <c r="P752" s="444"/>
      <c r="Q752" s="444"/>
    </row>
    <row r="753" spans="6:17">
      <c r="F753" s="453"/>
      <c r="G753" s="444"/>
      <c r="H753" s="444"/>
      <c r="I753" s="444"/>
      <c r="J753" s="444"/>
      <c r="K753" s="444"/>
      <c r="L753" s="444"/>
      <c r="M753" s="444"/>
      <c r="N753" s="444"/>
      <c r="O753" s="444"/>
      <c r="P753" s="444"/>
      <c r="Q753" s="444"/>
    </row>
    <row r="754" spans="6:17">
      <c r="F754" s="453"/>
      <c r="G754" s="444"/>
      <c r="H754" s="444"/>
      <c r="I754" s="444"/>
      <c r="J754" s="444"/>
      <c r="K754" s="444"/>
      <c r="L754" s="444"/>
      <c r="M754" s="444"/>
      <c r="N754" s="444"/>
      <c r="O754" s="444"/>
      <c r="P754" s="444"/>
      <c r="Q754" s="444"/>
    </row>
    <row r="755" spans="6:17">
      <c r="F755" s="453"/>
      <c r="G755" s="444"/>
      <c r="H755" s="444"/>
      <c r="I755" s="444"/>
      <c r="J755" s="444"/>
      <c r="K755" s="444"/>
      <c r="L755" s="444"/>
      <c r="M755" s="444"/>
      <c r="N755" s="444"/>
      <c r="O755" s="444"/>
      <c r="P755" s="444"/>
      <c r="Q755" s="444"/>
    </row>
    <row r="756" spans="6:17">
      <c r="F756" s="453"/>
      <c r="G756" s="444"/>
      <c r="H756" s="444"/>
      <c r="I756" s="444"/>
      <c r="J756" s="444"/>
      <c r="K756" s="444"/>
      <c r="L756" s="444"/>
      <c r="M756" s="444"/>
      <c r="N756" s="444"/>
      <c r="O756" s="444"/>
      <c r="P756" s="444"/>
      <c r="Q756" s="444"/>
    </row>
    <row r="757" spans="6:17">
      <c r="F757" s="453"/>
      <c r="G757" s="444"/>
      <c r="H757" s="444"/>
      <c r="I757" s="444"/>
      <c r="J757" s="444"/>
      <c r="K757" s="444"/>
      <c r="L757" s="444"/>
      <c r="M757" s="444"/>
      <c r="N757" s="444"/>
      <c r="O757" s="444"/>
      <c r="P757" s="444"/>
      <c r="Q757" s="444"/>
    </row>
    <row r="758" spans="6:17">
      <c r="F758" s="453"/>
      <c r="G758" s="444"/>
      <c r="H758" s="444"/>
      <c r="I758" s="444"/>
      <c r="J758" s="444"/>
      <c r="K758" s="444"/>
      <c r="L758" s="444"/>
      <c r="M758" s="444"/>
      <c r="N758" s="444"/>
      <c r="O758" s="444"/>
      <c r="P758" s="444"/>
      <c r="Q758" s="444"/>
    </row>
    <row r="759" spans="6:17">
      <c r="F759" s="453"/>
      <c r="G759" s="444"/>
      <c r="H759" s="444"/>
      <c r="I759" s="444"/>
      <c r="J759" s="444"/>
      <c r="K759" s="444"/>
      <c r="L759" s="444"/>
      <c r="M759" s="444"/>
      <c r="N759" s="444"/>
      <c r="O759" s="444"/>
      <c r="P759" s="444"/>
      <c r="Q759" s="444"/>
    </row>
    <row r="760" spans="6:17">
      <c r="F760" s="453"/>
      <c r="G760" s="444"/>
      <c r="H760" s="444"/>
      <c r="I760" s="444"/>
      <c r="J760" s="444"/>
      <c r="K760" s="444"/>
      <c r="L760" s="444"/>
      <c r="M760" s="444"/>
      <c r="N760" s="444"/>
      <c r="O760" s="444"/>
      <c r="P760" s="444"/>
      <c r="Q760" s="444"/>
    </row>
    <row r="761" spans="6:17">
      <c r="F761" s="453"/>
      <c r="G761" s="444"/>
      <c r="H761" s="444"/>
      <c r="I761" s="444"/>
      <c r="J761" s="444"/>
      <c r="K761" s="444"/>
      <c r="L761" s="444"/>
      <c r="M761" s="444"/>
      <c r="N761" s="444"/>
      <c r="O761" s="444"/>
      <c r="P761" s="444"/>
      <c r="Q761" s="444"/>
    </row>
    <row r="762" spans="6:17">
      <c r="F762" s="453"/>
      <c r="G762" s="444"/>
      <c r="H762" s="444"/>
      <c r="I762" s="444"/>
      <c r="J762" s="444"/>
      <c r="K762" s="444"/>
      <c r="L762" s="444"/>
      <c r="M762" s="444"/>
      <c r="N762" s="444"/>
      <c r="O762" s="444"/>
      <c r="P762" s="444"/>
      <c r="Q762" s="444"/>
    </row>
    <row r="763" spans="6:17">
      <c r="F763" s="453"/>
      <c r="G763" s="444"/>
      <c r="H763" s="444"/>
      <c r="I763" s="444"/>
      <c r="J763" s="444"/>
      <c r="K763" s="444"/>
      <c r="L763" s="444"/>
      <c r="M763" s="444"/>
      <c r="N763" s="444"/>
      <c r="O763" s="444"/>
      <c r="P763" s="444"/>
      <c r="Q763" s="444"/>
    </row>
    <row r="764" spans="6:17">
      <c r="F764" s="453"/>
      <c r="G764" s="444"/>
      <c r="H764" s="444"/>
      <c r="I764" s="444"/>
      <c r="J764" s="444"/>
      <c r="K764" s="444"/>
      <c r="L764" s="444"/>
      <c r="M764" s="444"/>
      <c r="N764" s="444"/>
      <c r="O764" s="444"/>
      <c r="P764" s="444"/>
      <c r="Q764" s="444"/>
    </row>
    <row r="765" spans="6:17">
      <c r="F765" s="453"/>
      <c r="G765" s="444"/>
      <c r="H765" s="444"/>
      <c r="I765" s="444"/>
      <c r="J765" s="444"/>
      <c r="K765" s="444"/>
      <c r="L765" s="444"/>
      <c r="M765" s="444"/>
      <c r="N765" s="444"/>
      <c r="O765" s="444"/>
      <c r="P765" s="444"/>
      <c r="Q765" s="444"/>
    </row>
    <row r="766" spans="6:17">
      <c r="F766" s="453"/>
      <c r="G766" s="444"/>
      <c r="H766" s="444"/>
      <c r="I766" s="444"/>
      <c r="J766" s="444"/>
      <c r="K766" s="444"/>
      <c r="L766" s="444"/>
      <c r="M766" s="444"/>
      <c r="N766" s="444"/>
      <c r="O766" s="444"/>
      <c r="P766" s="444"/>
      <c r="Q766" s="444"/>
    </row>
    <row r="767" spans="6:17">
      <c r="F767" s="453"/>
      <c r="G767" s="444"/>
      <c r="H767" s="444"/>
      <c r="I767" s="444"/>
      <c r="J767" s="444"/>
      <c r="K767" s="444"/>
      <c r="L767" s="444"/>
      <c r="M767" s="444"/>
      <c r="N767" s="444"/>
      <c r="O767" s="444"/>
      <c r="P767" s="444"/>
      <c r="Q767" s="444"/>
    </row>
    <row r="768" spans="6:17">
      <c r="F768" s="453"/>
      <c r="G768" s="444"/>
      <c r="H768" s="444"/>
      <c r="I768" s="444"/>
      <c r="J768" s="444"/>
      <c r="K768" s="444"/>
      <c r="L768" s="444"/>
      <c r="M768" s="444"/>
      <c r="N768" s="444"/>
      <c r="O768" s="444"/>
      <c r="P768" s="444"/>
      <c r="Q768" s="444"/>
    </row>
    <row r="769" spans="6:17">
      <c r="F769" s="453"/>
      <c r="G769" s="444"/>
      <c r="H769" s="444"/>
      <c r="I769" s="444"/>
      <c r="J769" s="444"/>
      <c r="K769" s="444"/>
      <c r="L769" s="444"/>
      <c r="M769" s="444"/>
      <c r="N769" s="444"/>
      <c r="O769" s="444"/>
      <c r="P769" s="444"/>
      <c r="Q769" s="444"/>
    </row>
    <row r="770" spans="6:17">
      <c r="F770" s="453"/>
      <c r="G770" s="444"/>
      <c r="H770" s="444"/>
      <c r="I770" s="444"/>
      <c r="J770" s="444"/>
      <c r="K770" s="444"/>
      <c r="L770" s="444"/>
      <c r="M770" s="444"/>
      <c r="N770" s="444"/>
      <c r="O770" s="444"/>
      <c r="P770" s="444"/>
      <c r="Q770" s="444"/>
    </row>
    <row r="771" spans="6:17">
      <c r="F771" s="453"/>
      <c r="G771" s="444"/>
      <c r="H771" s="444"/>
      <c r="I771" s="444"/>
      <c r="J771" s="444"/>
      <c r="K771" s="444"/>
      <c r="L771" s="444"/>
      <c r="M771" s="444"/>
      <c r="N771" s="444"/>
      <c r="O771" s="444"/>
      <c r="P771" s="444"/>
      <c r="Q771" s="444"/>
    </row>
    <row r="772" spans="6:17">
      <c r="F772" s="453"/>
      <c r="G772" s="444"/>
      <c r="H772" s="444"/>
      <c r="I772" s="444"/>
      <c r="J772" s="444"/>
      <c r="K772" s="444"/>
      <c r="L772" s="444"/>
      <c r="M772" s="444"/>
      <c r="N772" s="444"/>
      <c r="O772" s="444"/>
      <c r="P772" s="444"/>
      <c r="Q772" s="444"/>
    </row>
    <row r="773" spans="6:17">
      <c r="F773" s="453"/>
      <c r="G773" s="444"/>
      <c r="H773" s="444"/>
      <c r="I773" s="444"/>
      <c r="J773" s="444"/>
      <c r="K773" s="444"/>
      <c r="L773" s="444"/>
      <c r="M773" s="444"/>
      <c r="N773" s="444"/>
      <c r="O773" s="444"/>
      <c r="P773" s="444"/>
      <c r="Q773" s="444"/>
    </row>
    <row r="774" spans="6:17">
      <c r="F774" s="453"/>
      <c r="G774" s="444"/>
      <c r="H774" s="444"/>
      <c r="I774" s="444"/>
      <c r="J774" s="444"/>
      <c r="K774" s="444"/>
      <c r="L774" s="444"/>
      <c r="M774" s="444"/>
      <c r="N774" s="444"/>
      <c r="O774" s="444"/>
      <c r="P774" s="444"/>
      <c r="Q774" s="444"/>
    </row>
    <row r="775" spans="6:17">
      <c r="F775" s="453"/>
      <c r="G775" s="444"/>
      <c r="H775" s="444"/>
      <c r="I775" s="444"/>
      <c r="J775" s="444"/>
      <c r="K775" s="444"/>
      <c r="L775" s="444"/>
      <c r="M775" s="444"/>
      <c r="N775" s="444"/>
      <c r="O775" s="444"/>
      <c r="P775" s="444"/>
      <c r="Q775" s="444"/>
    </row>
    <row r="776" spans="6:17">
      <c r="F776" s="453"/>
      <c r="G776" s="444"/>
      <c r="H776" s="444"/>
      <c r="I776" s="444"/>
      <c r="J776" s="444"/>
      <c r="K776" s="444"/>
      <c r="L776" s="444"/>
      <c r="M776" s="444"/>
      <c r="N776" s="444"/>
      <c r="O776" s="444"/>
      <c r="P776" s="444"/>
      <c r="Q776" s="444"/>
    </row>
    <row r="777" spans="6:17">
      <c r="F777" s="453"/>
      <c r="G777" s="444"/>
      <c r="H777" s="444"/>
      <c r="I777" s="444"/>
      <c r="J777" s="444"/>
      <c r="K777" s="444"/>
      <c r="L777" s="444"/>
      <c r="M777" s="444"/>
      <c r="N777" s="444"/>
      <c r="O777" s="444"/>
      <c r="P777" s="444"/>
      <c r="Q777" s="444"/>
    </row>
    <row r="778" spans="6:17">
      <c r="F778" s="453"/>
      <c r="G778" s="444"/>
      <c r="H778" s="444"/>
      <c r="I778" s="444"/>
      <c r="J778" s="444"/>
      <c r="K778" s="444"/>
      <c r="L778" s="444"/>
      <c r="M778" s="444"/>
      <c r="N778" s="444"/>
      <c r="O778" s="444"/>
      <c r="P778" s="444"/>
      <c r="Q778" s="444"/>
    </row>
    <row r="779" spans="6:17">
      <c r="F779" s="453"/>
      <c r="G779" s="444"/>
      <c r="H779" s="444"/>
      <c r="I779" s="444"/>
      <c r="J779" s="444"/>
      <c r="K779" s="444"/>
      <c r="L779" s="444"/>
      <c r="M779" s="444"/>
      <c r="N779" s="444"/>
      <c r="O779" s="444"/>
      <c r="P779" s="444"/>
      <c r="Q779" s="444"/>
    </row>
    <row r="780" spans="6:17">
      <c r="F780" s="453"/>
      <c r="G780" s="444"/>
      <c r="H780" s="444"/>
      <c r="I780" s="444"/>
      <c r="J780" s="444"/>
      <c r="K780" s="444"/>
      <c r="L780" s="444"/>
      <c r="M780" s="444"/>
      <c r="N780" s="444"/>
      <c r="O780" s="444"/>
      <c r="P780" s="444"/>
      <c r="Q780" s="444"/>
    </row>
    <row r="781" spans="6:17">
      <c r="F781" s="453"/>
      <c r="G781" s="444"/>
      <c r="H781" s="444"/>
      <c r="I781" s="444"/>
      <c r="J781" s="444"/>
      <c r="K781" s="444"/>
      <c r="L781" s="444"/>
      <c r="M781" s="444"/>
      <c r="N781" s="444"/>
      <c r="O781" s="444"/>
      <c r="P781" s="444"/>
      <c r="Q781" s="444"/>
    </row>
    <row r="782" spans="6:17">
      <c r="F782" s="453"/>
      <c r="G782" s="444"/>
      <c r="H782" s="444"/>
      <c r="I782" s="444"/>
      <c r="J782" s="444"/>
      <c r="K782" s="444"/>
      <c r="L782" s="444"/>
      <c r="M782" s="444"/>
      <c r="N782" s="444"/>
      <c r="O782" s="444"/>
      <c r="P782" s="444"/>
      <c r="Q782" s="444"/>
    </row>
    <row r="783" spans="6:17">
      <c r="F783" s="453"/>
      <c r="G783" s="444"/>
      <c r="H783" s="444"/>
      <c r="I783" s="444"/>
      <c r="J783" s="444"/>
      <c r="K783" s="444"/>
      <c r="L783" s="444"/>
      <c r="M783" s="444"/>
      <c r="N783" s="444"/>
      <c r="O783" s="444"/>
      <c r="P783" s="444"/>
      <c r="Q783" s="444"/>
    </row>
    <row r="784" spans="6:17">
      <c r="F784" s="453"/>
      <c r="G784" s="444"/>
      <c r="H784" s="444"/>
      <c r="I784" s="444"/>
      <c r="J784" s="444"/>
      <c r="K784" s="444"/>
      <c r="L784" s="444"/>
      <c r="M784" s="444"/>
      <c r="N784" s="444"/>
      <c r="O784" s="444"/>
      <c r="P784" s="444"/>
      <c r="Q784" s="444"/>
    </row>
    <row r="785" spans="6:17">
      <c r="F785" s="453"/>
      <c r="G785" s="444"/>
      <c r="H785" s="444"/>
      <c r="I785" s="444"/>
      <c r="J785" s="444"/>
      <c r="K785" s="444"/>
      <c r="L785" s="444"/>
      <c r="M785" s="444"/>
      <c r="N785" s="444"/>
      <c r="O785" s="444"/>
      <c r="P785" s="444"/>
      <c r="Q785" s="444"/>
    </row>
    <row r="786" spans="6:17">
      <c r="F786" s="453"/>
      <c r="G786" s="444"/>
      <c r="H786" s="444"/>
      <c r="I786" s="444"/>
      <c r="J786" s="444"/>
      <c r="K786" s="444"/>
      <c r="L786" s="444"/>
      <c r="M786" s="444"/>
      <c r="N786" s="444"/>
      <c r="O786" s="444"/>
      <c r="P786" s="444"/>
      <c r="Q786" s="444"/>
    </row>
    <row r="787" spans="6:17">
      <c r="F787" s="453"/>
      <c r="G787" s="444"/>
      <c r="H787" s="444"/>
      <c r="I787" s="444"/>
      <c r="J787" s="444"/>
      <c r="K787" s="444"/>
      <c r="L787" s="444"/>
      <c r="M787" s="444"/>
      <c r="N787" s="444"/>
      <c r="O787" s="444"/>
      <c r="P787" s="444"/>
      <c r="Q787" s="444"/>
    </row>
    <row r="788" spans="6:17">
      <c r="F788" s="453"/>
      <c r="G788" s="444"/>
      <c r="H788" s="444"/>
      <c r="I788" s="444"/>
      <c r="J788" s="444"/>
      <c r="K788" s="444"/>
      <c r="L788" s="444"/>
      <c r="M788" s="444"/>
      <c r="N788" s="444"/>
      <c r="O788" s="444"/>
      <c r="P788" s="444"/>
      <c r="Q788" s="444"/>
    </row>
    <row r="789" spans="6:17">
      <c r="F789" s="453"/>
      <c r="G789" s="444"/>
      <c r="H789" s="444"/>
      <c r="I789" s="444"/>
      <c r="J789" s="444"/>
      <c r="K789" s="444"/>
      <c r="L789" s="444"/>
      <c r="M789" s="444"/>
      <c r="N789" s="444"/>
      <c r="O789" s="444"/>
      <c r="P789" s="444"/>
      <c r="Q789" s="444"/>
    </row>
    <row r="790" spans="6:17">
      <c r="F790" s="453"/>
      <c r="G790" s="444"/>
      <c r="H790" s="444"/>
      <c r="I790" s="444"/>
      <c r="J790" s="444"/>
      <c r="K790" s="444"/>
      <c r="L790" s="444"/>
      <c r="M790" s="444"/>
      <c r="N790" s="444"/>
      <c r="O790" s="444"/>
      <c r="P790" s="444"/>
      <c r="Q790" s="444"/>
    </row>
    <row r="791" spans="6:17">
      <c r="F791" s="453"/>
      <c r="G791" s="444"/>
      <c r="H791" s="444"/>
      <c r="I791" s="444"/>
      <c r="J791" s="444"/>
      <c r="K791" s="444"/>
      <c r="L791" s="444"/>
      <c r="M791" s="444"/>
      <c r="N791" s="444"/>
      <c r="O791" s="444"/>
      <c r="P791" s="444"/>
      <c r="Q791" s="444"/>
    </row>
    <row r="792" spans="6:17">
      <c r="F792" s="453"/>
      <c r="G792" s="444"/>
      <c r="H792" s="444"/>
      <c r="I792" s="444"/>
      <c r="J792" s="444"/>
      <c r="K792" s="444"/>
      <c r="L792" s="444"/>
      <c r="M792" s="444"/>
      <c r="N792" s="444"/>
      <c r="O792" s="444"/>
      <c r="P792" s="444"/>
      <c r="Q792" s="444"/>
    </row>
    <row r="793" spans="6:17">
      <c r="F793" s="453"/>
      <c r="G793" s="444"/>
      <c r="H793" s="444"/>
      <c r="I793" s="444"/>
      <c r="J793" s="444"/>
      <c r="K793" s="444"/>
      <c r="L793" s="444"/>
      <c r="M793" s="444"/>
      <c r="N793" s="444"/>
      <c r="O793" s="444"/>
      <c r="P793" s="444"/>
      <c r="Q793" s="444"/>
    </row>
    <row r="794" spans="6:17">
      <c r="F794" s="453"/>
      <c r="G794" s="444"/>
      <c r="H794" s="444"/>
      <c r="I794" s="444"/>
      <c r="J794" s="444"/>
      <c r="K794" s="444"/>
      <c r="L794" s="444"/>
      <c r="M794" s="444"/>
      <c r="N794" s="444"/>
      <c r="O794" s="444"/>
      <c r="P794" s="444"/>
      <c r="Q794" s="444"/>
    </row>
    <row r="795" spans="6:17">
      <c r="F795" s="453"/>
      <c r="G795" s="444"/>
      <c r="H795" s="444"/>
      <c r="I795" s="444"/>
      <c r="J795" s="444"/>
      <c r="K795" s="444"/>
      <c r="L795" s="444"/>
      <c r="M795" s="444"/>
      <c r="N795" s="444"/>
      <c r="O795" s="444"/>
      <c r="P795" s="444"/>
      <c r="Q795" s="444"/>
    </row>
    <row r="796" spans="6:17">
      <c r="F796" s="453"/>
      <c r="G796" s="444"/>
      <c r="H796" s="444"/>
      <c r="I796" s="444"/>
      <c r="J796" s="444"/>
      <c r="K796" s="444"/>
      <c r="L796" s="444"/>
      <c r="M796" s="444"/>
      <c r="N796" s="444"/>
      <c r="O796" s="444"/>
      <c r="P796" s="444"/>
      <c r="Q796" s="444"/>
    </row>
    <row r="797" spans="6:17">
      <c r="F797" s="453"/>
      <c r="G797" s="444"/>
      <c r="H797" s="444"/>
      <c r="I797" s="444"/>
      <c r="J797" s="444"/>
      <c r="K797" s="444"/>
      <c r="L797" s="444"/>
      <c r="M797" s="444"/>
      <c r="N797" s="444"/>
      <c r="O797" s="444"/>
      <c r="P797" s="444"/>
      <c r="Q797" s="444"/>
    </row>
    <row r="798" spans="6:17">
      <c r="F798" s="453"/>
      <c r="G798" s="444"/>
      <c r="H798" s="444"/>
      <c r="I798" s="444"/>
      <c r="J798" s="444"/>
      <c r="K798" s="444"/>
      <c r="L798" s="444"/>
      <c r="M798" s="444"/>
      <c r="N798" s="444"/>
      <c r="O798" s="444"/>
      <c r="P798" s="444"/>
      <c r="Q798" s="444"/>
    </row>
    <row r="799" spans="6:17">
      <c r="F799" s="453"/>
      <c r="G799" s="444"/>
      <c r="H799" s="444"/>
      <c r="I799" s="444"/>
      <c r="J799" s="444"/>
      <c r="K799" s="444"/>
      <c r="L799" s="444"/>
      <c r="M799" s="444"/>
      <c r="N799" s="444"/>
      <c r="O799" s="444"/>
      <c r="P799" s="444"/>
      <c r="Q799" s="444"/>
    </row>
    <row r="800" spans="6:17">
      <c r="F800" s="453"/>
      <c r="G800" s="444"/>
      <c r="H800" s="444"/>
      <c r="I800" s="444"/>
      <c r="J800" s="444"/>
      <c r="K800" s="444"/>
      <c r="L800" s="444"/>
      <c r="M800" s="444"/>
      <c r="N800" s="444"/>
      <c r="O800" s="444"/>
      <c r="P800" s="444"/>
      <c r="Q800" s="444"/>
    </row>
    <row r="801" spans="6:17">
      <c r="F801" s="453"/>
      <c r="G801" s="444"/>
      <c r="H801" s="444"/>
      <c r="I801" s="444"/>
      <c r="J801" s="444"/>
      <c r="K801" s="444"/>
      <c r="L801" s="444"/>
      <c r="M801" s="444"/>
      <c r="N801" s="444"/>
      <c r="O801" s="444"/>
      <c r="P801" s="444"/>
      <c r="Q801" s="444"/>
    </row>
    <row r="802" spans="6:17">
      <c r="F802" s="453"/>
      <c r="G802" s="444"/>
      <c r="H802" s="444"/>
      <c r="I802" s="444"/>
      <c r="J802" s="444"/>
      <c r="K802" s="444"/>
      <c r="L802" s="444"/>
      <c r="M802" s="444"/>
      <c r="N802" s="444"/>
      <c r="O802" s="444"/>
      <c r="P802" s="444"/>
      <c r="Q802" s="444"/>
    </row>
    <row r="803" spans="6:17">
      <c r="F803" s="453"/>
      <c r="G803" s="444"/>
      <c r="H803" s="444"/>
      <c r="I803" s="444"/>
      <c r="J803" s="444"/>
      <c r="K803" s="444"/>
      <c r="L803" s="444"/>
      <c r="M803" s="444"/>
      <c r="N803" s="444"/>
      <c r="O803" s="444"/>
      <c r="P803" s="444"/>
      <c r="Q803" s="444"/>
    </row>
    <row r="804" spans="6:17">
      <c r="F804" s="453"/>
      <c r="G804" s="444"/>
      <c r="H804" s="444"/>
      <c r="I804" s="444"/>
      <c r="J804" s="444"/>
      <c r="K804" s="444"/>
      <c r="L804" s="444"/>
      <c r="M804" s="444"/>
      <c r="N804" s="444"/>
      <c r="O804" s="444"/>
      <c r="P804" s="444"/>
      <c r="Q804" s="444"/>
    </row>
    <row r="805" spans="6:17">
      <c r="F805" s="453"/>
      <c r="G805" s="444"/>
      <c r="H805" s="444"/>
      <c r="I805" s="444"/>
      <c r="J805" s="444"/>
      <c r="K805" s="444"/>
      <c r="L805" s="444"/>
      <c r="M805" s="444"/>
      <c r="N805" s="444"/>
      <c r="O805" s="444"/>
      <c r="P805" s="444"/>
      <c r="Q805" s="444"/>
    </row>
    <row r="806" spans="6:17">
      <c r="F806" s="453"/>
      <c r="G806" s="444"/>
      <c r="H806" s="444"/>
      <c r="I806" s="444"/>
      <c r="J806" s="444"/>
      <c r="K806" s="444"/>
      <c r="L806" s="444"/>
      <c r="M806" s="444"/>
      <c r="N806" s="444"/>
      <c r="O806" s="444"/>
      <c r="P806" s="444"/>
      <c r="Q806" s="444"/>
    </row>
    <row r="807" spans="6:17">
      <c r="F807" s="453"/>
      <c r="G807" s="444"/>
      <c r="H807" s="444"/>
      <c r="I807" s="444"/>
      <c r="J807" s="444"/>
      <c r="K807" s="444"/>
      <c r="L807" s="444"/>
      <c r="M807" s="444"/>
      <c r="N807" s="444"/>
      <c r="O807" s="444"/>
      <c r="P807" s="444"/>
      <c r="Q807" s="444"/>
    </row>
    <row r="808" spans="6:17">
      <c r="F808" s="453"/>
      <c r="G808" s="444"/>
      <c r="H808" s="444"/>
      <c r="I808" s="444"/>
      <c r="J808" s="444"/>
      <c r="K808" s="444"/>
      <c r="L808" s="444"/>
      <c r="M808" s="444"/>
      <c r="N808" s="444"/>
      <c r="O808" s="444"/>
      <c r="P808" s="444"/>
      <c r="Q808" s="444"/>
    </row>
    <row r="809" spans="6:17">
      <c r="F809" s="453"/>
      <c r="G809" s="444"/>
      <c r="H809" s="444"/>
      <c r="I809" s="444"/>
      <c r="J809" s="444"/>
      <c r="K809" s="444"/>
      <c r="L809" s="444"/>
      <c r="M809" s="444"/>
      <c r="N809" s="444"/>
      <c r="O809" s="444"/>
      <c r="P809" s="444"/>
      <c r="Q809" s="444"/>
    </row>
    <row r="810" spans="6:17">
      <c r="F810" s="453"/>
      <c r="G810" s="444"/>
      <c r="H810" s="444"/>
      <c r="I810" s="444"/>
      <c r="J810" s="444"/>
      <c r="K810" s="444"/>
      <c r="L810" s="444"/>
      <c r="M810" s="444"/>
      <c r="N810" s="444"/>
      <c r="O810" s="444"/>
      <c r="P810" s="444"/>
      <c r="Q810" s="444"/>
    </row>
    <row r="811" spans="6:17">
      <c r="F811" s="453"/>
      <c r="G811" s="444"/>
      <c r="H811" s="444"/>
      <c r="I811" s="444"/>
      <c r="J811" s="444"/>
      <c r="K811" s="444"/>
      <c r="L811" s="444"/>
      <c r="M811" s="444"/>
      <c r="N811" s="444"/>
      <c r="O811" s="444"/>
      <c r="P811" s="444"/>
      <c r="Q811" s="444"/>
    </row>
    <row r="812" spans="6:17">
      <c r="F812" s="453"/>
      <c r="G812" s="444"/>
      <c r="H812" s="444"/>
      <c r="I812" s="444"/>
      <c r="J812" s="444"/>
      <c r="K812" s="444"/>
      <c r="L812" s="444"/>
      <c r="M812" s="444"/>
      <c r="N812" s="444"/>
      <c r="O812" s="444"/>
      <c r="P812" s="444"/>
      <c r="Q812" s="444"/>
    </row>
    <row r="813" spans="6:17">
      <c r="F813" s="453"/>
      <c r="G813" s="444"/>
      <c r="H813" s="444"/>
      <c r="I813" s="444"/>
      <c r="J813" s="444"/>
      <c r="K813" s="444"/>
      <c r="L813" s="444"/>
      <c r="M813" s="444"/>
      <c r="N813" s="444"/>
      <c r="O813" s="444"/>
      <c r="P813" s="444"/>
      <c r="Q813" s="444"/>
    </row>
    <row r="814" spans="6:17">
      <c r="F814" s="453"/>
      <c r="G814" s="444"/>
      <c r="H814" s="444"/>
      <c r="I814" s="444"/>
      <c r="J814" s="444"/>
      <c r="K814" s="444"/>
      <c r="L814" s="444"/>
      <c r="M814" s="444"/>
      <c r="N814" s="444"/>
      <c r="O814" s="444"/>
      <c r="P814" s="444"/>
      <c r="Q814" s="444"/>
    </row>
    <row r="815" spans="6:17">
      <c r="F815" s="453"/>
      <c r="G815" s="444"/>
      <c r="H815" s="444"/>
      <c r="I815" s="444"/>
      <c r="J815" s="444"/>
      <c r="K815" s="444"/>
      <c r="L815" s="444"/>
      <c r="M815" s="444"/>
      <c r="N815" s="444"/>
      <c r="O815" s="444"/>
      <c r="P815" s="444"/>
      <c r="Q815" s="444"/>
    </row>
    <row r="816" spans="6:17">
      <c r="F816" s="453"/>
      <c r="G816" s="444"/>
      <c r="H816" s="444"/>
      <c r="I816" s="444"/>
      <c r="J816" s="444"/>
      <c r="K816" s="444"/>
      <c r="L816" s="444"/>
      <c r="M816" s="444"/>
      <c r="N816" s="444"/>
      <c r="O816" s="444"/>
      <c r="P816" s="444"/>
      <c r="Q816" s="444"/>
    </row>
    <row r="817" spans="6:17">
      <c r="F817" s="453"/>
      <c r="G817" s="444"/>
      <c r="H817" s="444"/>
      <c r="I817" s="444"/>
      <c r="J817" s="444"/>
      <c r="K817" s="444"/>
      <c r="L817" s="444"/>
      <c r="M817" s="444"/>
      <c r="N817" s="444"/>
      <c r="O817" s="444"/>
      <c r="P817" s="444"/>
      <c r="Q817" s="444"/>
    </row>
    <row r="818" spans="6:17">
      <c r="F818" s="453"/>
      <c r="G818" s="444"/>
      <c r="H818" s="444"/>
      <c r="I818" s="444"/>
      <c r="J818" s="444"/>
      <c r="K818" s="444"/>
      <c r="L818" s="444"/>
      <c r="M818" s="444"/>
      <c r="N818" s="444"/>
      <c r="O818" s="444"/>
      <c r="P818" s="444"/>
      <c r="Q818" s="444"/>
    </row>
    <row r="819" spans="6:17">
      <c r="F819" s="453"/>
      <c r="G819" s="444"/>
      <c r="H819" s="444"/>
      <c r="I819" s="444"/>
      <c r="J819" s="444"/>
      <c r="K819" s="444"/>
      <c r="L819" s="444"/>
      <c r="M819" s="444"/>
      <c r="N819" s="444"/>
      <c r="O819" s="444"/>
      <c r="P819" s="444"/>
      <c r="Q819" s="444"/>
    </row>
    <row r="820" spans="6:17">
      <c r="F820" s="453"/>
      <c r="G820" s="444"/>
      <c r="H820" s="444"/>
      <c r="I820" s="444"/>
      <c r="J820" s="444"/>
      <c r="K820" s="444"/>
      <c r="L820" s="444"/>
      <c r="M820" s="444"/>
      <c r="N820" s="444"/>
      <c r="O820" s="444"/>
      <c r="P820" s="444"/>
      <c r="Q820" s="444"/>
    </row>
    <row r="821" spans="6:17">
      <c r="F821" s="453"/>
      <c r="G821" s="444"/>
      <c r="H821" s="444"/>
      <c r="I821" s="444"/>
      <c r="J821" s="444"/>
      <c r="K821" s="444"/>
      <c r="L821" s="444"/>
      <c r="M821" s="444"/>
      <c r="N821" s="444"/>
      <c r="O821" s="444"/>
      <c r="P821" s="444"/>
      <c r="Q821" s="444"/>
    </row>
    <row r="822" spans="6:17">
      <c r="F822" s="453"/>
      <c r="G822" s="444"/>
      <c r="H822" s="444"/>
      <c r="I822" s="444"/>
      <c r="J822" s="444"/>
      <c r="K822" s="444"/>
      <c r="L822" s="444"/>
      <c r="M822" s="444"/>
      <c r="N822" s="444"/>
      <c r="O822" s="444"/>
      <c r="P822" s="444"/>
      <c r="Q822" s="444"/>
    </row>
    <row r="823" spans="6:17">
      <c r="F823" s="453"/>
      <c r="G823" s="444"/>
      <c r="H823" s="444"/>
      <c r="I823" s="444"/>
      <c r="J823" s="444"/>
      <c r="K823" s="444"/>
      <c r="L823" s="444"/>
      <c r="M823" s="444"/>
      <c r="N823" s="444"/>
      <c r="O823" s="444"/>
      <c r="P823" s="444"/>
      <c r="Q823" s="444"/>
    </row>
    <row r="824" spans="6:17">
      <c r="F824" s="453"/>
      <c r="G824" s="444"/>
      <c r="H824" s="444"/>
      <c r="I824" s="444"/>
      <c r="J824" s="444"/>
      <c r="K824" s="444"/>
      <c r="L824" s="444"/>
      <c r="M824" s="444"/>
      <c r="N824" s="444"/>
      <c r="O824" s="444"/>
      <c r="P824" s="444"/>
      <c r="Q824" s="444"/>
    </row>
    <row r="825" spans="6:17">
      <c r="F825" s="453"/>
      <c r="G825" s="444"/>
      <c r="H825" s="444"/>
      <c r="I825" s="444"/>
      <c r="J825" s="444"/>
      <c r="K825" s="444"/>
      <c r="L825" s="444"/>
      <c r="M825" s="444"/>
      <c r="N825" s="444"/>
      <c r="O825" s="444"/>
      <c r="P825" s="444"/>
      <c r="Q825" s="444"/>
    </row>
    <row r="826" spans="6:17">
      <c r="F826" s="453"/>
      <c r="G826" s="444"/>
      <c r="H826" s="444"/>
      <c r="I826" s="444"/>
      <c r="J826" s="444"/>
      <c r="K826" s="444"/>
      <c r="L826" s="444"/>
      <c r="M826" s="444"/>
      <c r="N826" s="444"/>
      <c r="O826" s="444"/>
      <c r="P826" s="444"/>
      <c r="Q826" s="444"/>
    </row>
    <row r="827" spans="6:17">
      <c r="F827" s="453"/>
      <c r="G827" s="444"/>
      <c r="H827" s="444"/>
      <c r="I827" s="444"/>
      <c r="J827" s="444"/>
      <c r="K827" s="444"/>
      <c r="L827" s="444"/>
      <c r="M827" s="444"/>
      <c r="N827" s="444"/>
      <c r="O827" s="444"/>
      <c r="P827" s="444"/>
      <c r="Q827" s="444"/>
    </row>
    <row r="828" spans="6:17">
      <c r="F828" s="453"/>
      <c r="G828" s="444"/>
      <c r="H828" s="444"/>
      <c r="I828" s="444"/>
      <c r="J828" s="444"/>
      <c r="K828" s="444"/>
      <c r="L828" s="444"/>
      <c r="M828" s="444"/>
      <c r="N828" s="444"/>
      <c r="O828" s="444"/>
      <c r="P828" s="444"/>
      <c r="Q828" s="444"/>
    </row>
    <row r="829" spans="6:17">
      <c r="F829" s="453"/>
      <c r="G829" s="444"/>
      <c r="H829" s="444"/>
      <c r="I829" s="444"/>
      <c r="J829" s="444"/>
      <c r="K829" s="444"/>
      <c r="L829" s="444"/>
      <c r="M829" s="444"/>
      <c r="N829" s="444"/>
      <c r="O829" s="444"/>
      <c r="P829" s="444"/>
      <c r="Q829" s="444"/>
    </row>
    <row r="830" spans="6:17">
      <c r="F830" s="453"/>
      <c r="G830" s="444"/>
      <c r="H830" s="444"/>
      <c r="I830" s="444"/>
      <c r="J830" s="444"/>
      <c r="K830" s="444"/>
      <c r="L830" s="444"/>
      <c r="M830" s="444"/>
      <c r="N830" s="444"/>
      <c r="O830" s="444"/>
      <c r="P830" s="444"/>
      <c r="Q830" s="444"/>
    </row>
    <row r="831" spans="6:17">
      <c r="F831" s="453"/>
      <c r="G831" s="444"/>
      <c r="H831" s="444"/>
      <c r="I831" s="444"/>
      <c r="J831" s="444"/>
      <c r="K831" s="444"/>
      <c r="L831" s="444"/>
      <c r="M831" s="444"/>
      <c r="N831" s="444"/>
      <c r="O831" s="444"/>
      <c r="P831" s="444"/>
      <c r="Q831" s="444"/>
    </row>
    <row r="832" spans="6:17">
      <c r="F832" s="453"/>
      <c r="G832" s="444"/>
      <c r="H832" s="444"/>
      <c r="I832" s="444"/>
      <c r="J832" s="444"/>
      <c r="K832" s="444"/>
      <c r="L832" s="444"/>
      <c r="M832" s="444"/>
      <c r="N832" s="444"/>
      <c r="O832" s="444"/>
      <c r="P832" s="444"/>
      <c r="Q832" s="444"/>
    </row>
    <row r="833" spans="6:17">
      <c r="F833" s="453"/>
      <c r="G833" s="444"/>
      <c r="H833" s="444"/>
      <c r="I833" s="444"/>
      <c r="J833" s="444"/>
      <c r="K833" s="444"/>
      <c r="L833" s="444"/>
      <c r="M833" s="444"/>
      <c r="N833" s="444"/>
      <c r="O833" s="444"/>
      <c r="P833" s="444"/>
      <c r="Q833" s="444"/>
    </row>
    <row r="834" spans="6:17">
      <c r="F834" s="453"/>
      <c r="G834" s="444"/>
      <c r="H834" s="444"/>
      <c r="I834" s="444"/>
      <c r="J834" s="444"/>
      <c r="K834" s="444"/>
      <c r="L834" s="444"/>
      <c r="M834" s="444"/>
      <c r="N834" s="444"/>
      <c r="O834" s="444"/>
      <c r="P834" s="444"/>
      <c r="Q834" s="444"/>
    </row>
    <row r="835" spans="6:17">
      <c r="F835" s="453"/>
      <c r="G835" s="444"/>
      <c r="H835" s="444"/>
      <c r="I835" s="444"/>
      <c r="J835" s="444"/>
      <c r="K835" s="444"/>
      <c r="L835" s="444"/>
      <c r="M835" s="444"/>
      <c r="N835" s="444"/>
      <c r="O835" s="444"/>
      <c r="P835" s="444"/>
      <c r="Q835" s="444"/>
    </row>
    <row r="836" spans="6:17">
      <c r="F836" s="453"/>
      <c r="G836" s="444"/>
      <c r="H836" s="444"/>
      <c r="I836" s="444"/>
      <c r="J836" s="444"/>
      <c r="K836" s="444"/>
      <c r="L836" s="444"/>
      <c r="M836" s="444"/>
      <c r="N836" s="444"/>
      <c r="O836" s="444"/>
      <c r="P836" s="444"/>
      <c r="Q836" s="444"/>
    </row>
    <row r="837" spans="6:17">
      <c r="F837" s="453"/>
      <c r="G837" s="444"/>
      <c r="H837" s="444"/>
      <c r="I837" s="444"/>
      <c r="J837" s="444"/>
      <c r="K837" s="444"/>
      <c r="L837" s="444"/>
      <c r="M837" s="444"/>
      <c r="N837" s="444"/>
      <c r="O837" s="444"/>
      <c r="P837" s="444"/>
      <c r="Q837" s="444"/>
    </row>
    <row r="838" spans="6:17">
      <c r="F838" s="453"/>
      <c r="G838" s="444"/>
      <c r="H838" s="444"/>
      <c r="I838" s="444"/>
      <c r="J838" s="444"/>
      <c r="K838" s="444"/>
      <c r="L838" s="444"/>
      <c r="M838" s="444"/>
      <c r="N838" s="444"/>
      <c r="O838" s="444"/>
      <c r="P838" s="444"/>
      <c r="Q838" s="444"/>
    </row>
    <row r="839" spans="6:17">
      <c r="F839" s="453"/>
      <c r="G839" s="444"/>
      <c r="H839" s="444"/>
      <c r="I839" s="444"/>
      <c r="J839" s="444"/>
      <c r="K839" s="444"/>
      <c r="L839" s="444"/>
      <c r="M839" s="444"/>
      <c r="N839" s="444"/>
      <c r="O839" s="444"/>
      <c r="P839" s="444"/>
      <c r="Q839" s="444"/>
    </row>
    <row r="840" spans="6:17">
      <c r="F840" s="453"/>
      <c r="G840" s="444"/>
      <c r="H840" s="444"/>
      <c r="I840" s="444"/>
      <c r="J840" s="444"/>
      <c r="K840" s="444"/>
      <c r="L840" s="444"/>
      <c r="M840" s="444"/>
      <c r="N840" s="444"/>
      <c r="O840" s="444"/>
      <c r="P840" s="444"/>
      <c r="Q840" s="444"/>
    </row>
    <row r="841" spans="6:17">
      <c r="F841" s="453"/>
      <c r="G841" s="444"/>
      <c r="H841" s="444"/>
      <c r="I841" s="444"/>
      <c r="J841" s="444"/>
      <c r="K841" s="444"/>
      <c r="L841" s="444"/>
      <c r="M841" s="444"/>
      <c r="N841" s="444"/>
      <c r="O841" s="444"/>
      <c r="P841" s="444"/>
      <c r="Q841" s="444"/>
    </row>
    <row r="842" spans="6:17">
      <c r="F842" s="453"/>
      <c r="G842" s="444"/>
      <c r="H842" s="444"/>
      <c r="I842" s="444"/>
      <c r="J842" s="444"/>
      <c r="K842" s="444"/>
      <c r="L842" s="444"/>
      <c r="M842" s="444"/>
      <c r="N842" s="444"/>
      <c r="O842" s="444"/>
      <c r="P842" s="444"/>
      <c r="Q842" s="444"/>
    </row>
    <row r="843" spans="6:17">
      <c r="F843" s="453"/>
      <c r="G843" s="444"/>
      <c r="H843" s="444"/>
      <c r="I843" s="444"/>
      <c r="J843" s="444"/>
      <c r="K843" s="444"/>
      <c r="L843" s="444"/>
      <c r="M843" s="444"/>
      <c r="N843" s="444"/>
      <c r="O843" s="444"/>
      <c r="P843" s="444"/>
      <c r="Q843" s="444"/>
    </row>
    <row r="844" spans="6:17">
      <c r="F844" s="453"/>
      <c r="G844" s="444"/>
      <c r="H844" s="444"/>
      <c r="I844" s="444"/>
      <c r="J844" s="444"/>
      <c r="K844" s="444"/>
      <c r="L844" s="444"/>
      <c r="M844" s="444"/>
      <c r="N844" s="444"/>
      <c r="O844" s="444"/>
      <c r="P844" s="444"/>
      <c r="Q844" s="444"/>
    </row>
    <row r="845" spans="6:17">
      <c r="F845" s="453"/>
      <c r="G845" s="444"/>
      <c r="H845" s="444"/>
      <c r="I845" s="444"/>
      <c r="J845" s="444"/>
      <c r="K845" s="444"/>
      <c r="L845" s="444"/>
      <c r="M845" s="444"/>
      <c r="N845" s="444"/>
      <c r="O845" s="444"/>
      <c r="P845" s="444"/>
      <c r="Q845" s="444"/>
    </row>
    <row r="846" spans="6:17">
      <c r="F846" s="453"/>
      <c r="G846" s="444"/>
      <c r="H846" s="444"/>
      <c r="I846" s="444"/>
      <c r="J846" s="444"/>
      <c r="K846" s="444"/>
      <c r="L846" s="444"/>
      <c r="M846" s="444"/>
      <c r="N846" s="444"/>
      <c r="O846" s="444"/>
      <c r="P846" s="444"/>
      <c r="Q846" s="444"/>
    </row>
    <row r="847" spans="6:17">
      <c r="F847" s="453"/>
      <c r="G847" s="444"/>
      <c r="H847" s="444"/>
      <c r="I847" s="444"/>
      <c r="J847" s="444"/>
      <c r="K847" s="444"/>
      <c r="L847" s="444"/>
      <c r="M847" s="444"/>
      <c r="N847" s="444"/>
      <c r="O847" s="444"/>
      <c r="P847" s="444"/>
      <c r="Q847" s="444"/>
    </row>
    <row r="848" spans="6:17">
      <c r="F848" s="453"/>
      <c r="G848" s="444"/>
      <c r="H848" s="444"/>
      <c r="I848" s="444"/>
      <c r="J848" s="444"/>
      <c r="K848" s="444"/>
      <c r="L848" s="444"/>
      <c r="M848" s="444"/>
      <c r="N848" s="444"/>
      <c r="O848" s="444"/>
      <c r="P848" s="444"/>
      <c r="Q848" s="444"/>
    </row>
    <row r="849" spans="6:17">
      <c r="F849" s="453"/>
      <c r="G849" s="444"/>
      <c r="H849" s="444"/>
      <c r="I849" s="444"/>
      <c r="J849" s="444"/>
      <c r="K849" s="444"/>
      <c r="L849" s="444"/>
      <c r="M849" s="444"/>
      <c r="N849" s="444"/>
      <c r="O849" s="444"/>
      <c r="P849" s="444"/>
      <c r="Q849" s="444"/>
    </row>
    <row r="850" spans="6:17">
      <c r="F850" s="453"/>
      <c r="G850" s="444"/>
      <c r="H850" s="444"/>
      <c r="I850" s="444"/>
      <c r="J850" s="444"/>
      <c r="K850" s="444"/>
      <c r="L850" s="444"/>
      <c r="M850" s="444"/>
      <c r="N850" s="444"/>
      <c r="O850" s="444"/>
      <c r="P850" s="444"/>
      <c r="Q850" s="444"/>
    </row>
    <row r="851" spans="6:17">
      <c r="F851" s="453"/>
      <c r="G851" s="444"/>
      <c r="H851" s="444"/>
      <c r="I851" s="444"/>
      <c r="J851" s="444"/>
      <c r="K851" s="444"/>
      <c r="L851" s="444"/>
      <c r="M851" s="444"/>
      <c r="N851" s="444"/>
      <c r="O851" s="444"/>
      <c r="P851" s="444"/>
      <c r="Q851" s="444"/>
    </row>
    <row r="852" spans="6:17">
      <c r="F852" s="453"/>
      <c r="G852" s="444"/>
      <c r="H852" s="444"/>
      <c r="I852" s="444"/>
      <c r="J852" s="444"/>
      <c r="K852" s="444"/>
      <c r="L852" s="444"/>
      <c r="M852" s="444"/>
      <c r="N852" s="444"/>
      <c r="O852" s="444"/>
      <c r="P852" s="444"/>
      <c r="Q852" s="444"/>
    </row>
    <row r="853" spans="6:17">
      <c r="F853" s="453"/>
      <c r="G853" s="444"/>
      <c r="H853" s="444"/>
      <c r="I853" s="444"/>
      <c r="J853" s="444"/>
      <c r="K853" s="444"/>
      <c r="L853" s="444"/>
      <c r="M853" s="444"/>
      <c r="N853" s="444"/>
      <c r="O853" s="444"/>
      <c r="P853" s="444"/>
      <c r="Q853" s="444"/>
    </row>
    <row r="854" spans="6:17">
      <c r="F854" s="453"/>
      <c r="G854" s="444"/>
      <c r="H854" s="444"/>
      <c r="I854" s="444"/>
      <c r="J854" s="444"/>
      <c r="K854" s="444"/>
      <c r="L854" s="444"/>
      <c r="M854" s="444"/>
      <c r="N854" s="444"/>
      <c r="O854" s="444"/>
      <c r="P854" s="444"/>
      <c r="Q854" s="444"/>
    </row>
    <row r="855" spans="6:17">
      <c r="F855" s="453"/>
      <c r="G855" s="444"/>
      <c r="H855" s="444"/>
      <c r="I855" s="444"/>
      <c r="J855" s="444"/>
      <c r="K855" s="444"/>
      <c r="L855" s="444"/>
      <c r="M855" s="444"/>
      <c r="N855" s="444"/>
      <c r="O855" s="444"/>
      <c r="P855" s="444"/>
      <c r="Q855" s="444"/>
    </row>
    <row r="856" spans="6:17">
      <c r="F856" s="453"/>
      <c r="G856" s="444"/>
      <c r="H856" s="444"/>
      <c r="I856" s="444"/>
      <c r="J856" s="444"/>
      <c r="K856" s="444"/>
      <c r="L856" s="444"/>
      <c r="M856" s="444"/>
      <c r="N856" s="444"/>
      <c r="O856" s="444"/>
      <c r="P856" s="444"/>
      <c r="Q856" s="444"/>
    </row>
    <row r="857" spans="6:17">
      <c r="F857" s="453"/>
      <c r="G857" s="444"/>
      <c r="H857" s="444"/>
      <c r="I857" s="444"/>
      <c r="J857" s="444"/>
      <c r="K857" s="444"/>
      <c r="L857" s="444"/>
      <c r="M857" s="444"/>
      <c r="N857" s="444"/>
      <c r="O857" s="444"/>
      <c r="P857" s="444"/>
      <c r="Q857" s="444"/>
    </row>
    <row r="858" spans="6:17">
      <c r="F858" s="453"/>
      <c r="G858" s="444"/>
      <c r="H858" s="444"/>
      <c r="I858" s="444"/>
      <c r="J858" s="444"/>
      <c r="K858" s="444"/>
      <c r="L858" s="444"/>
      <c r="M858" s="444"/>
      <c r="N858" s="444"/>
      <c r="O858" s="444"/>
      <c r="P858" s="444"/>
      <c r="Q858" s="444"/>
    </row>
    <row r="859" spans="6:17">
      <c r="F859" s="453"/>
      <c r="G859" s="444"/>
      <c r="H859" s="444"/>
      <c r="I859" s="444"/>
      <c r="J859" s="444"/>
      <c r="K859" s="444"/>
      <c r="L859" s="444"/>
      <c r="M859" s="444"/>
      <c r="N859" s="444"/>
      <c r="O859" s="444"/>
      <c r="P859" s="444"/>
      <c r="Q859" s="444"/>
    </row>
    <row r="860" spans="6:17">
      <c r="F860" s="453"/>
      <c r="G860" s="444"/>
      <c r="H860" s="444"/>
      <c r="I860" s="444"/>
      <c r="J860" s="444"/>
      <c r="K860" s="444"/>
      <c r="L860" s="444"/>
      <c r="M860" s="444"/>
      <c r="N860" s="444"/>
      <c r="O860" s="444"/>
      <c r="P860" s="444"/>
      <c r="Q860" s="444"/>
    </row>
    <row r="861" spans="6:17">
      <c r="F861" s="453"/>
      <c r="G861" s="444"/>
      <c r="H861" s="444"/>
      <c r="I861" s="444"/>
      <c r="J861" s="444"/>
      <c r="K861" s="444"/>
      <c r="L861" s="444"/>
      <c r="M861" s="444"/>
      <c r="N861" s="444"/>
      <c r="O861" s="444"/>
      <c r="P861" s="444"/>
      <c r="Q861" s="444"/>
    </row>
    <row r="862" spans="6:17">
      <c r="F862" s="453"/>
      <c r="G862" s="444"/>
      <c r="H862" s="444"/>
      <c r="I862" s="444"/>
      <c r="J862" s="444"/>
      <c r="K862" s="444"/>
      <c r="L862" s="444"/>
      <c r="M862" s="444"/>
      <c r="N862" s="444"/>
      <c r="O862" s="444"/>
      <c r="P862" s="444"/>
      <c r="Q862" s="444"/>
    </row>
    <row r="863" spans="6:17">
      <c r="F863" s="453"/>
      <c r="G863" s="444"/>
      <c r="H863" s="444"/>
      <c r="I863" s="444"/>
      <c r="J863" s="444"/>
      <c r="K863" s="444"/>
      <c r="L863" s="444"/>
      <c r="M863" s="444"/>
      <c r="N863" s="444"/>
      <c r="O863" s="444"/>
      <c r="P863" s="444"/>
      <c r="Q863" s="444"/>
    </row>
    <row r="864" spans="6:17">
      <c r="F864" s="453"/>
      <c r="G864" s="444"/>
      <c r="H864" s="444"/>
      <c r="I864" s="444"/>
      <c r="J864" s="444"/>
      <c r="K864" s="444"/>
      <c r="L864" s="444"/>
      <c r="M864" s="444"/>
      <c r="N864" s="444"/>
      <c r="O864" s="444"/>
      <c r="P864" s="444"/>
      <c r="Q864" s="444"/>
    </row>
    <row r="865" spans="6:17">
      <c r="F865" s="453"/>
      <c r="G865" s="444"/>
      <c r="H865" s="444"/>
      <c r="I865" s="444"/>
      <c r="J865" s="444"/>
      <c r="K865" s="444"/>
      <c r="L865" s="444"/>
      <c r="M865" s="444"/>
      <c r="N865" s="444"/>
      <c r="O865" s="444"/>
      <c r="P865" s="444"/>
      <c r="Q865" s="444"/>
    </row>
    <row r="866" spans="6:17">
      <c r="F866" s="453"/>
      <c r="G866" s="444"/>
      <c r="H866" s="444"/>
      <c r="I866" s="444"/>
      <c r="J866" s="444"/>
      <c r="K866" s="444"/>
      <c r="L866" s="444"/>
      <c r="M866" s="444"/>
      <c r="N866" s="444"/>
      <c r="O866" s="444"/>
      <c r="P866" s="444"/>
      <c r="Q866" s="444"/>
    </row>
    <row r="867" spans="6:17">
      <c r="F867" s="453"/>
      <c r="G867" s="444"/>
      <c r="H867" s="444"/>
      <c r="I867" s="444"/>
      <c r="J867" s="444"/>
      <c r="K867" s="444"/>
      <c r="L867" s="444"/>
      <c r="M867" s="444"/>
      <c r="N867" s="444"/>
      <c r="O867" s="444"/>
      <c r="P867" s="444"/>
      <c r="Q867" s="444"/>
    </row>
    <row r="868" spans="6:17">
      <c r="F868" s="453"/>
      <c r="G868" s="444"/>
      <c r="H868" s="444"/>
      <c r="I868" s="444"/>
      <c r="J868" s="444"/>
      <c r="K868" s="444"/>
      <c r="L868" s="444"/>
      <c r="M868" s="444"/>
      <c r="N868" s="444"/>
      <c r="O868" s="444"/>
      <c r="P868" s="444"/>
      <c r="Q868" s="444"/>
    </row>
    <row r="869" spans="6:17">
      <c r="F869" s="453"/>
      <c r="G869" s="444"/>
      <c r="H869" s="444"/>
      <c r="I869" s="444"/>
      <c r="J869" s="444"/>
      <c r="K869" s="444"/>
      <c r="L869" s="444"/>
      <c r="M869" s="444"/>
      <c r="N869" s="444"/>
      <c r="O869" s="444"/>
      <c r="P869" s="444"/>
      <c r="Q869" s="444"/>
    </row>
    <row r="870" spans="6:17">
      <c r="F870" s="453"/>
      <c r="G870" s="444"/>
      <c r="H870" s="444"/>
      <c r="I870" s="444"/>
      <c r="J870" s="444"/>
      <c r="K870" s="444"/>
      <c r="L870" s="444"/>
      <c r="M870" s="444"/>
      <c r="N870" s="444"/>
      <c r="O870" s="444"/>
      <c r="P870" s="444"/>
      <c r="Q870" s="444"/>
    </row>
    <row r="871" spans="6:17">
      <c r="F871" s="453"/>
      <c r="G871" s="444"/>
      <c r="H871" s="444"/>
      <c r="I871" s="444"/>
      <c r="J871" s="444"/>
      <c r="K871" s="444"/>
      <c r="L871" s="444"/>
      <c r="M871" s="444"/>
      <c r="N871" s="444"/>
      <c r="O871" s="444"/>
      <c r="P871" s="444"/>
      <c r="Q871" s="444"/>
    </row>
    <row r="872" spans="6:17">
      <c r="F872" s="453"/>
      <c r="G872" s="444"/>
      <c r="H872" s="444"/>
      <c r="I872" s="444"/>
      <c r="J872" s="444"/>
      <c r="K872" s="444"/>
      <c r="L872" s="444"/>
      <c r="M872" s="444"/>
      <c r="N872" s="444"/>
      <c r="O872" s="444"/>
      <c r="P872" s="444"/>
      <c r="Q872" s="444"/>
    </row>
    <row r="873" spans="6:17">
      <c r="F873" s="453"/>
      <c r="G873" s="444"/>
      <c r="H873" s="444"/>
      <c r="I873" s="444"/>
      <c r="J873" s="444"/>
      <c r="K873" s="444"/>
      <c r="L873" s="444"/>
      <c r="M873" s="444"/>
      <c r="N873" s="444"/>
      <c r="O873" s="444"/>
      <c r="P873" s="444"/>
      <c r="Q873" s="444"/>
    </row>
    <row r="874" spans="6:17">
      <c r="F874" s="453"/>
      <c r="G874" s="444"/>
      <c r="H874" s="444"/>
      <c r="I874" s="444"/>
      <c r="J874" s="444"/>
      <c r="K874" s="444"/>
      <c r="L874" s="444"/>
      <c r="M874" s="444"/>
      <c r="N874" s="444"/>
      <c r="O874" s="444"/>
      <c r="P874" s="444"/>
      <c r="Q874" s="444"/>
    </row>
    <row r="875" spans="6:17">
      <c r="F875" s="453"/>
      <c r="G875" s="444"/>
      <c r="H875" s="444"/>
      <c r="I875" s="444"/>
      <c r="J875" s="444"/>
      <c r="K875" s="444"/>
      <c r="L875" s="444"/>
      <c r="M875" s="444"/>
      <c r="N875" s="444"/>
      <c r="O875" s="444"/>
      <c r="P875" s="444"/>
      <c r="Q875" s="444"/>
    </row>
    <row r="876" spans="6:17">
      <c r="F876" s="453"/>
      <c r="G876" s="444"/>
      <c r="H876" s="444"/>
      <c r="I876" s="444"/>
      <c r="J876" s="444"/>
      <c r="K876" s="444"/>
      <c r="L876" s="444"/>
      <c r="M876" s="444"/>
      <c r="N876" s="444"/>
      <c r="O876" s="444"/>
      <c r="P876" s="444"/>
      <c r="Q876" s="444"/>
    </row>
    <row r="877" spans="6:17">
      <c r="F877" s="453"/>
      <c r="G877" s="444"/>
      <c r="H877" s="444"/>
      <c r="I877" s="444"/>
      <c r="J877" s="444"/>
      <c r="K877" s="444"/>
      <c r="L877" s="444"/>
      <c r="M877" s="444"/>
      <c r="N877" s="444"/>
      <c r="O877" s="444"/>
      <c r="P877" s="444"/>
      <c r="Q877" s="444"/>
    </row>
    <row r="878" spans="6:17">
      <c r="F878" s="453"/>
      <c r="G878" s="444"/>
      <c r="H878" s="444"/>
      <c r="I878" s="444"/>
      <c r="J878" s="444"/>
      <c r="K878" s="444"/>
      <c r="L878" s="444"/>
      <c r="M878" s="444"/>
      <c r="N878" s="444"/>
      <c r="O878" s="444"/>
      <c r="P878" s="444"/>
      <c r="Q878" s="444"/>
    </row>
    <row r="879" spans="6:17">
      <c r="F879" s="453"/>
      <c r="G879" s="444"/>
      <c r="H879" s="444"/>
      <c r="I879" s="444"/>
      <c r="J879" s="444"/>
      <c r="K879" s="444"/>
      <c r="L879" s="444"/>
      <c r="M879" s="444"/>
      <c r="N879" s="444"/>
      <c r="O879" s="444"/>
      <c r="P879" s="444"/>
      <c r="Q879" s="444"/>
    </row>
    <row r="880" spans="6:17">
      <c r="F880" s="453"/>
      <c r="G880" s="444"/>
      <c r="H880" s="444"/>
      <c r="I880" s="444"/>
      <c r="J880" s="444"/>
      <c r="K880" s="444"/>
      <c r="L880" s="444"/>
      <c r="M880" s="444"/>
      <c r="N880" s="444"/>
      <c r="O880" s="444"/>
      <c r="P880" s="444"/>
      <c r="Q880" s="444"/>
    </row>
    <row r="881" spans="6:17">
      <c r="F881" s="453"/>
      <c r="G881" s="444"/>
      <c r="H881" s="444"/>
      <c r="I881" s="444"/>
      <c r="J881" s="444"/>
      <c r="K881" s="444"/>
      <c r="L881" s="444"/>
      <c r="M881" s="444"/>
      <c r="N881" s="444"/>
      <c r="O881" s="444"/>
      <c r="P881" s="444"/>
      <c r="Q881" s="444"/>
    </row>
    <row r="882" spans="6:17">
      <c r="F882" s="453"/>
      <c r="G882" s="444"/>
      <c r="H882" s="444"/>
      <c r="I882" s="444"/>
      <c r="J882" s="444"/>
      <c r="K882" s="444"/>
      <c r="L882" s="444"/>
      <c r="M882" s="444"/>
      <c r="N882" s="444"/>
      <c r="O882" s="444"/>
      <c r="P882" s="444"/>
      <c r="Q882" s="444"/>
    </row>
    <row r="883" spans="6:17">
      <c r="F883" s="453"/>
      <c r="G883" s="444"/>
      <c r="H883" s="444"/>
      <c r="I883" s="444"/>
      <c r="J883" s="444"/>
      <c r="K883" s="444"/>
      <c r="L883" s="444"/>
      <c r="M883" s="444"/>
      <c r="N883" s="444"/>
      <c r="O883" s="444"/>
      <c r="P883" s="444"/>
      <c r="Q883" s="444"/>
    </row>
    <row r="884" spans="6:17">
      <c r="F884" s="453"/>
      <c r="G884" s="444"/>
      <c r="H884" s="444"/>
      <c r="I884" s="444"/>
      <c r="J884" s="444"/>
      <c r="K884" s="444"/>
      <c r="L884" s="444"/>
      <c r="M884" s="444"/>
      <c r="N884" s="444"/>
      <c r="O884" s="444"/>
      <c r="P884" s="444"/>
      <c r="Q884" s="444"/>
    </row>
    <row r="885" spans="6:17">
      <c r="F885" s="453"/>
      <c r="G885" s="444"/>
      <c r="H885" s="444"/>
      <c r="I885" s="444"/>
      <c r="J885" s="444"/>
      <c r="K885" s="444"/>
      <c r="L885" s="444"/>
      <c r="M885" s="444"/>
      <c r="N885" s="444"/>
      <c r="O885" s="444"/>
      <c r="P885" s="444"/>
      <c r="Q885" s="444"/>
    </row>
    <row r="886" spans="6:17">
      <c r="F886" s="453"/>
      <c r="G886" s="444"/>
      <c r="H886" s="444"/>
      <c r="I886" s="444"/>
      <c r="J886" s="444"/>
      <c r="K886" s="444"/>
      <c r="L886" s="444"/>
      <c r="M886" s="444"/>
      <c r="N886" s="444"/>
      <c r="O886" s="444"/>
      <c r="P886" s="444"/>
      <c r="Q886" s="444"/>
    </row>
    <row r="887" spans="6:17">
      <c r="F887" s="453"/>
      <c r="G887" s="444"/>
      <c r="H887" s="444"/>
      <c r="I887" s="444"/>
      <c r="J887" s="444"/>
      <c r="K887" s="444"/>
      <c r="L887" s="444"/>
      <c r="M887" s="444"/>
      <c r="N887" s="444"/>
      <c r="O887" s="444"/>
      <c r="P887" s="444"/>
      <c r="Q887" s="444"/>
    </row>
    <row r="888" spans="6:17">
      <c r="F888" s="453"/>
      <c r="G888" s="444"/>
      <c r="H888" s="444"/>
      <c r="I888" s="444"/>
      <c r="J888" s="444"/>
      <c r="K888" s="444"/>
      <c r="L888" s="444"/>
      <c r="M888" s="444"/>
      <c r="N888" s="444"/>
      <c r="O888" s="444"/>
      <c r="P888" s="444"/>
      <c r="Q888" s="444"/>
    </row>
    <row r="889" spans="6:17">
      <c r="F889" s="453"/>
      <c r="G889" s="444"/>
      <c r="H889" s="444"/>
      <c r="I889" s="444"/>
      <c r="J889" s="444"/>
      <c r="K889" s="444"/>
      <c r="L889" s="444"/>
      <c r="M889" s="444"/>
      <c r="N889" s="444"/>
      <c r="O889" s="444"/>
      <c r="P889" s="444"/>
      <c r="Q889" s="444"/>
    </row>
    <row r="890" spans="6:17">
      <c r="F890" s="453"/>
      <c r="G890" s="444"/>
      <c r="H890" s="444"/>
      <c r="I890" s="444"/>
      <c r="J890" s="444"/>
      <c r="K890" s="444"/>
      <c r="L890" s="444"/>
      <c r="M890" s="444"/>
      <c r="N890" s="444"/>
      <c r="O890" s="444"/>
      <c r="P890" s="444"/>
      <c r="Q890" s="444"/>
    </row>
    <row r="891" spans="6:17">
      <c r="F891" s="453"/>
      <c r="G891" s="444"/>
      <c r="H891" s="444"/>
      <c r="I891" s="444"/>
      <c r="J891" s="444"/>
      <c r="K891" s="444"/>
      <c r="L891" s="444"/>
      <c r="M891" s="444"/>
      <c r="N891" s="444"/>
      <c r="O891" s="444"/>
      <c r="P891" s="444"/>
      <c r="Q891" s="444"/>
    </row>
    <row r="892" spans="6:17">
      <c r="F892" s="453"/>
      <c r="G892" s="444"/>
      <c r="H892" s="444"/>
      <c r="I892" s="444"/>
      <c r="J892" s="444"/>
      <c r="K892" s="444"/>
      <c r="L892" s="444"/>
      <c r="M892" s="444"/>
      <c r="N892" s="444"/>
      <c r="O892" s="444"/>
      <c r="P892" s="444"/>
      <c r="Q892" s="444"/>
    </row>
    <row r="893" spans="6:17">
      <c r="F893" s="453"/>
      <c r="G893" s="444"/>
      <c r="H893" s="444"/>
      <c r="I893" s="444"/>
      <c r="J893" s="444"/>
      <c r="K893" s="444"/>
      <c r="L893" s="444"/>
      <c r="M893" s="444"/>
      <c r="N893" s="444"/>
      <c r="O893" s="444"/>
      <c r="P893" s="444"/>
      <c r="Q893" s="444"/>
    </row>
    <row r="894" spans="6:17">
      <c r="F894" s="453"/>
      <c r="G894" s="444"/>
      <c r="H894" s="444"/>
      <c r="I894" s="444"/>
      <c r="J894" s="444"/>
      <c r="K894" s="444"/>
      <c r="L894" s="444"/>
      <c r="M894" s="444"/>
      <c r="N894" s="444"/>
      <c r="O894" s="444"/>
      <c r="P894" s="444"/>
      <c r="Q894" s="444"/>
    </row>
    <row r="895" spans="6:17">
      <c r="F895" s="453"/>
      <c r="G895" s="444"/>
      <c r="H895" s="444"/>
      <c r="I895" s="444"/>
      <c r="J895" s="444"/>
      <c r="K895" s="444"/>
      <c r="L895" s="444"/>
      <c r="M895" s="444"/>
      <c r="N895" s="444"/>
      <c r="O895" s="444"/>
      <c r="P895" s="444"/>
      <c r="Q895" s="444"/>
    </row>
    <row r="896" spans="6:17">
      <c r="F896" s="453"/>
      <c r="G896" s="444"/>
      <c r="H896" s="444"/>
      <c r="I896" s="444"/>
      <c r="J896" s="444"/>
      <c r="K896" s="444"/>
      <c r="L896" s="444"/>
      <c r="M896" s="444"/>
      <c r="N896" s="444"/>
      <c r="O896" s="444"/>
      <c r="P896" s="444"/>
      <c r="Q896" s="444"/>
    </row>
    <row r="897" spans="6:17">
      <c r="F897" s="453"/>
      <c r="G897" s="444"/>
      <c r="H897" s="444"/>
      <c r="I897" s="444"/>
      <c r="J897" s="444"/>
      <c r="K897" s="444"/>
      <c r="L897" s="444"/>
      <c r="M897" s="444"/>
      <c r="N897" s="444"/>
      <c r="O897" s="444"/>
      <c r="P897" s="444"/>
      <c r="Q897" s="444"/>
    </row>
    <row r="898" spans="6:17">
      <c r="F898" s="453"/>
      <c r="G898" s="444"/>
      <c r="H898" s="444"/>
      <c r="I898" s="444"/>
      <c r="J898" s="444"/>
      <c r="K898" s="444"/>
      <c r="L898" s="444"/>
      <c r="M898" s="444"/>
      <c r="N898" s="444"/>
      <c r="O898" s="444"/>
      <c r="P898" s="444"/>
      <c r="Q898" s="444"/>
    </row>
    <row r="899" spans="6:17">
      <c r="F899" s="453"/>
      <c r="G899" s="444"/>
      <c r="H899" s="444"/>
      <c r="I899" s="444"/>
      <c r="J899" s="444"/>
      <c r="K899" s="444"/>
      <c r="L899" s="444"/>
      <c r="M899" s="444"/>
      <c r="N899" s="444"/>
      <c r="O899" s="444"/>
      <c r="P899" s="444"/>
      <c r="Q899" s="444"/>
    </row>
    <row r="900" spans="6:17">
      <c r="F900" s="453"/>
      <c r="G900" s="444"/>
      <c r="H900" s="444"/>
      <c r="I900" s="444"/>
      <c r="J900" s="444"/>
      <c r="K900" s="444"/>
      <c r="L900" s="444"/>
      <c r="M900" s="444"/>
      <c r="N900" s="444"/>
      <c r="O900" s="444"/>
      <c r="P900" s="444"/>
      <c r="Q900" s="444"/>
    </row>
    <row r="901" spans="6:17">
      <c r="F901" s="453"/>
      <c r="G901" s="444"/>
      <c r="H901" s="444"/>
      <c r="I901" s="444"/>
      <c r="J901" s="444"/>
      <c r="K901" s="444"/>
      <c r="L901" s="444"/>
      <c r="M901" s="444"/>
      <c r="N901" s="444"/>
      <c r="O901" s="444"/>
      <c r="P901" s="444"/>
      <c r="Q901" s="444"/>
    </row>
    <row r="902" spans="6:17">
      <c r="F902" s="453"/>
      <c r="G902" s="444"/>
      <c r="H902" s="444"/>
      <c r="I902" s="444"/>
      <c r="J902" s="444"/>
      <c r="K902" s="444"/>
      <c r="L902" s="444"/>
      <c r="M902" s="444"/>
      <c r="N902" s="444"/>
      <c r="O902" s="444"/>
      <c r="P902" s="444"/>
      <c r="Q902" s="444"/>
    </row>
    <row r="903" spans="6:17">
      <c r="F903" s="453"/>
      <c r="G903" s="444"/>
      <c r="H903" s="444"/>
      <c r="I903" s="444"/>
      <c r="J903" s="444"/>
      <c r="K903" s="444"/>
      <c r="L903" s="444"/>
      <c r="M903" s="444"/>
      <c r="N903" s="444"/>
      <c r="O903" s="444"/>
      <c r="P903" s="444"/>
      <c r="Q903" s="444"/>
    </row>
    <row r="904" spans="6:17">
      <c r="F904" s="453"/>
      <c r="G904" s="444"/>
      <c r="H904" s="444"/>
      <c r="I904" s="444"/>
      <c r="J904" s="444"/>
      <c r="K904" s="444"/>
      <c r="L904" s="444"/>
      <c r="M904" s="444"/>
      <c r="N904" s="444"/>
      <c r="O904" s="444"/>
      <c r="P904" s="444"/>
      <c r="Q904" s="444"/>
    </row>
    <row r="905" spans="6:17">
      <c r="F905" s="453"/>
      <c r="G905" s="444"/>
      <c r="H905" s="444"/>
      <c r="I905" s="444"/>
      <c r="J905" s="444"/>
      <c r="K905" s="444"/>
      <c r="L905" s="444"/>
      <c r="M905" s="444"/>
      <c r="N905" s="444"/>
      <c r="O905" s="444"/>
      <c r="P905" s="444"/>
      <c r="Q905" s="444"/>
    </row>
    <row r="906" spans="6:17">
      <c r="F906" s="453"/>
      <c r="G906" s="444"/>
      <c r="H906" s="444"/>
      <c r="I906" s="444"/>
      <c r="J906" s="444"/>
      <c r="K906" s="444"/>
      <c r="L906" s="444"/>
      <c r="M906" s="444"/>
      <c r="N906" s="444"/>
      <c r="O906" s="444"/>
      <c r="P906" s="444"/>
      <c r="Q906" s="444"/>
    </row>
    <row r="907" spans="6:17">
      <c r="F907" s="453"/>
      <c r="G907" s="444"/>
      <c r="H907" s="444"/>
      <c r="I907" s="444"/>
      <c r="J907" s="444"/>
      <c r="K907" s="444"/>
      <c r="L907" s="444"/>
      <c r="M907" s="444"/>
      <c r="N907" s="444"/>
      <c r="O907" s="444"/>
      <c r="P907" s="444"/>
      <c r="Q907" s="444"/>
    </row>
    <row r="908" spans="6:17">
      <c r="F908" s="453"/>
      <c r="G908" s="444"/>
      <c r="H908" s="444"/>
      <c r="I908" s="444"/>
      <c r="J908" s="444"/>
      <c r="K908" s="444"/>
      <c r="L908" s="444"/>
      <c r="M908" s="444"/>
      <c r="N908" s="444"/>
      <c r="O908" s="444"/>
      <c r="P908" s="444"/>
      <c r="Q908" s="444"/>
    </row>
    <row r="909" spans="6:17">
      <c r="F909" s="453"/>
      <c r="G909" s="444"/>
      <c r="H909" s="444"/>
      <c r="I909" s="444"/>
      <c r="J909" s="444"/>
      <c r="K909" s="444"/>
      <c r="L909" s="444"/>
      <c r="M909" s="444"/>
      <c r="N909" s="444"/>
      <c r="O909" s="444"/>
      <c r="P909" s="444"/>
      <c r="Q909" s="444"/>
    </row>
    <row r="910" spans="6:17">
      <c r="F910" s="453"/>
      <c r="G910" s="444"/>
      <c r="H910" s="444"/>
      <c r="I910" s="444"/>
      <c r="J910" s="444"/>
      <c r="K910" s="444"/>
      <c r="L910" s="444"/>
      <c r="M910" s="444"/>
      <c r="N910" s="444"/>
      <c r="O910" s="444"/>
      <c r="P910" s="444"/>
      <c r="Q910" s="444"/>
    </row>
    <row r="911" spans="6:17">
      <c r="F911" s="453"/>
      <c r="G911" s="444"/>
      <c r="H911" s="444"/>
      <c r="I911" s="444"/>
      <c r="J911" s="444"/>
      <c r="K911" s="444"/>
      <c r="L911" s="444"/>
      <c r="M911" s="444"/>
      <c r="N911" s="444"/>
      <c r="O911" s="444"/>
      <c r="P911" s="444"/>
      <c r="Q911" s="444"/>
    </row>
    <row r="912" spans="6:17">
      <c r="F912" s="453"/>
      <c r="G912" s="444"/>
      <c r="H912" s="444"/>
      <c r="I912" s="444"/>
      <c r="J912" s="444"/>
      <c r="K912" s="444"/>
      <c r="L912" s="444"/>
      <c r="M912" s="444"/>
      <c r="N912" s="444"/>
      <c r="O912" s="444"/>
      <c r="P912" s="444"/>
      <c r="Q912" s="444"/>
    </row>
    <row r="913" spans="6:17">
      <c r="F913" s="453"/>
      <c r="G913" s="444"/>
      <c r="H913" s="444"/>
      <c r="I913" s="444"/>
      <c r="J913" s="444"/>
      <c r="K913" s="444"/>
      <c r="L913" s="444"/>
      <c r="M913" s="444"/>
      <c r="N913" s="444"/>
      <c r="O913" s="444"/>
      <c r="P913" s="444"/>
      <c r="Q913" s="444"/>
    </row>
    <row r="914" spans="6:17">
      <c r="F914" s="453"/>
      <c r="G914" s="444"/>
      <c r="H914" s="444"/>
      <c r="I914" s="444"/>
      <c r="J914" s="444"/>
      <c r="K914" s="444"/>
      <c r="L914" s="444"/>
      <c r="M914" s="444"/>
      <c r="N914" s="444"/>
      <c r="O914" s="444"/>
      <c r="P914" s="444"/>
      <c r="Q914" s="444"/>
    </row>
    <row r="915" spans="6:17">
      <c r="F915" s="453"/>
      <c r="G915" s="444"/>
      <c r="H915" s="444"/>
      <c r="I915" s="444"/>
      <c r="J915" s="444"/>
      <c r="K915" s="444"/>
      <c r="L915" s="444"/>
      <c r="M915" s="444"/>
      <c r="N915" s="444"/>
      <c r="O915" s="444"/>
      <c r="P915" s="444"/>
      <c r="Q915" s="444"/>
    </row>
    <row r="916" spans="6:17">
      <c r="F916" s="453"/>
      <c r="G916" s="444"/>
      <c r="H916" s="444"/>
      <c r="I916" s="444"/>
      <c r="J916" s="444"/>
      <c r="K916" s="444"/>
      <c r="L916" s="444"/>
      <c r="M916" s="444"/>
      <c r="N916" s="444"/>
      <c r="O916" s="444"/>
      <c r="P916" s="444"/>
      <c r="Q916" s="444"/>
    </row>
    <row r="917" spans="6:17">
      <c r="F917" s="453"/>
      <c r="G917" s="444"/>
      <c r="H917" s="444"/>
      <c r="I917" s="444"/>
      <c r="J917" s="444"/>
      <c r="K917" s="444"/>
      <c r="L917" s="444"/>
      <c r="M917" s="444"/>
      <c r="N917" s="444"/>
      <c r="O917" s="444"/>
      <c r="P917" s="444"/>
      <c r="Q917" s="444"/>
    </row>
    <row r="918" spans="6:17">
      <c r="F918" s="453"/>
      <c r="G918" s="444"/>
      <c r="H918" s="444"/>
      <c r="I918" s="444"/>
      <c r="J918" s="444"/>
      <c r="K918" s="444"/>
      <c r="L918" s="444"/>
      <c r="M918" s="444"/>
      <c r="N918" s="444"/>
      <c r="O918" s="444"/>
      <c r="P918" s="444"/>
      <c r="Q918" s="444"/>
    </row>
    <row r="919" spans="6:17">
      <c r="F919" s="453"/>
      <c r="G919" s="444"/>
      <c r="H919" s="444"/>
      <c r="I919" s="444"/>
      <c r="J919" s="444"/>
      <c r="K919" s="444"/>
      <c r="L919" s="444"/>
      <c r="M919" s="444"/>
      <c r="N919" s="444"/>
      <c r="O919" s="444"/>
      <c r="P919" s="444"/>
      <c r="Q919" s="444"/>
    </row>
    <row r="920" spans="6:17">
      <c r="F920" s="453"/>
      <c r="G920" s="444"/>
      <c r="H920" s="444"/>
      <c r="I920" s="444"/>
      <c r="J920" s="444"/>
      <c r="K920" s="444"/>
      <c r="L920" s="444"/>
      <c r="M920" s="444"/>
      <c r="N920" s="444"/>
      <c r="O920" s="444"/>
      <c r="P920" s="444"/>
      <c r="Q920" s="444"/>
    </row>
    <row r="921" spans="6:17">
      <c r="F921" s="453"/>
      <c r="G921" s="444"/>
      <c r="H921" s="444"/>
      <c r="I921" s="444"/>
      <c r="J921" s="444"/>
      <c r="K921" s="444"/>
      <c r="L921" s="444"/>
      <c r="M921" s="444"/>
      <c r="N921" s="444"/>
      <c r="O921" s="444"/>
      <c r="P921" s="444"/>
      <c r="Q921" s="444"/>
    </row>
    <row r="922" spans="6:17">
      <c r="F922" s="453"/>
      <c r="G922" s="444"/>
      <c r="H922" s="444"/>
      <c r="I922" s="444"/>
      <c r="J922" s="444"/>
      <c r="K922" s="444"/>
      <c r="L922" s="444"/>
      <c r="M922" s="444"/>
      <c r="N922" s="444"/>
      <c r="O922" s="444"/>
      <c r="P922" s="444"/>
      <c r="Q922" s="444"/>
    </row>
    <row r="923" spans="6:17">
      <c r="F923" s="453"/>
      <c r="G923" s="444"/>
      <c r="H923" s="444"/>
      <c r="I923" s="444"/>
      <c r="J923" s="444"/>
      <c r="K923" s="444"/>
      <c r="L923" s="444"/>
      <c r="M923" s="444"/>
      <c r="N923" s="444"/>
      <c r="O923" s="444"/>
      <c r="P923" s="444"/>
      <c r="Q923" s="444"/>
    </row>
    <row r="924" spans="6:17">
      <c r="F924" s="453"/>
      <c r="G924" s="444"/>
      <c r="H924" s="444"/>
      <c r="I924" s="444"/>
      <c r="J924" s="444"/>
      <c r="K924" s="444"/>
      <c r="L924" s="444"/>
      <c r="M924" s="444"/>
      <c r="N924" s="444"/>
      <c r="O924" s="444"/>
      <c r="P924" s="444"/>
      <c r="Q924" s="444"/>
    </row>
    <row r="925" spans="6:17">
      <c r="F925" s="453"/>
      <c r="G925" s="444"/>
      <c r="H925" s="444"/>
      <c r="I925" s="444"/>
      <c r="J925" s="444"/>
      <c r="K925" s="444"/>
      <c r="L925" s="444"/>
      <c r="M925" s="444"/>
      <c r="N925" s="444"/>
      <c r="O925" s="444"/>
      <c r="P925" s="444"/>
      <c r="Q925" s="444"/>
    </row>
    <row r="926" spans="6:17">
      <c r="F926" s="453"/>
      <c r="G926" s="444"/>
      <c r="H926" s="444"/>
      <c r="I926" s="444"/>
      <c r="J926" s="444"/>
      <c r="K926" s="444"/>
      <c r="L926" s="444"/>
      <c r="M926" s="444"/>
      <c r="N926" s="444"/>
      <c r="O926" s="444"/>
      <c r="P926" s="444"/>
      <c r="Q926" s="444"/>
    </row>
    <row r="927" spans="6:17">
      <c r="F927" s="453"/>
      <c r="G927" s="444"/>
      <c r="H927" s="444"/>
      <c r="I927" s="444"/>
      <c r="J927" s="444"/>
      <c r="K927" s="444"/>
      <c r="L927" s="444"/>
      <c r="M927" s="444"/>
      <c r="N927" s="444"/>
      <c r="O927" s="444"/>
      <c r="P927" s="444"/>
      <c r="Q927" s="444"/>
    </row>
    <row r="928" spans="6:17">
      <c r="F928" s="453"/>
      <c r="G928" s="444"/>
      <c r="H928" s="444"/>
      <c r="I928" s="444"/>
      <c r="J928" s="444"/>
      <c r="K928" s="444"/>
      <c r="L928" s="444"/>
      <c r="M928" s="444"/>
      <c r="N928" s="444"/>
      <c r="O928" s="444"/>
      <c r="P928" s="444"/>
      <c r="Q928" s="444"/>
    </row>
    <row r="929" spans="6:17">
      <c r="F929" s="453"/>
      <c r="G929" s="444"/>
      <c r="H929" s="444"/>
      <c r="I929" s="444"/>
      <c r="J929" s="444"/>
      <c r="K929" s="444"/>
      <c r="L929" s="444"/>
      <c r="M929" s="444"/>
      <c r="N929" s="444"/>
      <c r="O929" s="444"/>
      <c r="P929" s="444"/>
      <c r="Q929" s="444"/>
    </row>
    <row r="930" spans="6:17">
      <c r="F930" s="453"/>
      <c r="G930" s="444"/>
      <c r="H930" s="444"/>
      <c r="I930" s="444"/>
      <c r="J930" s="444"/>
      <c r="K930" s="444"/>
      <c r="L930" s="444"/>
      <c r="M930" s="444"/>
      <c r="N930" s="444"/>
      <c r="O930" s="444"/>
      <c r="P930" s="444"/>
      <c r="Q930" s="444"/>
    </row>
    <row r="931" spans="6:17">
      <c r="F931" s="453"/>
      <c r="G931" s="444"/>
      <c r="H931" s="444"/>
      <c r="I931" s="444"/>
      <c r="J931" s="444"/>
      <c r="K931" s="444"/>
      <c r="L931" s="444"/>
      <c r="M931" s="444"/>
      <c r="N931" s="444"/>
      <c r="O931" s="444"/>
      <c r="P931" s="444"/>
      <c r="Q931" s="444"/>
    </row>
    <row r="932" spans="6:17">
      <c r="F932" s="453"/>
      <c r="G932" s="444"/>
      <c r="H932" s="444"/>
      <c r="I932" s="444"/>
      <c r="J932" s="444"/>
      <c r="K932" s="444"/>
      <c r="L932" s="444"/>
      <c r="M932" s="444"/>
      <c r="N932" s="444"/>
      <c r="O932" s="444"/>
      <c r="P932" s="444"/>
      <c r="Q932" s="444"/>
    </row>
    <row r="933" spans="6:17">
      <c r="F933" s="453"/>
      <c r="G933" s="444"/>
      <c r="H933" s="444"/>
      <c r="I933" s="444"/>
      <c r="J933" s="444"/>
      <c r="K933" s="444"/>
      <c r="L933" s="444"/>
      <c r="M933" s="444"/>
      <c r="N933" s="444"/>
      <c r="O933" s="444"/>
      <c r="P933" s="444"/>
      <c r="Q933" s="444"/>
    </row>
    <row r="934" spans="6:17">
      <c r="F934" s="453"/>
      <c r="G934" s="444"/>
      <c r="H934" s="444"/>
      <c r="I934" s="444"/>
      <c r="J934" s="444"/>
      <c r="K934" s="444"/>
      <c r="L934" s="444"/>
      <c r="M934" s="444"/>
      <c r="N934" s="444"/>
      <c r="O934" s="444"/>
      <c r="P934" s="444"/>
      <c r="Q934" s="444"/>
    </row>
    <row r="935" spans="6:17">
      <c r="F935" s="453"/>
      <c r="G935" s="444"/>
      <c r="H935" s="444"/>
      <c r="I935" s="444"/>
      <c r="J935" s="444"/>
      <c r="K935" s="444"/>
      <c r="L935" s="444"/>
      <c r="M935" s="444"/>
      <c r="N935" s="444"/>
      <c r="O935" s="444"/>
      <c r="P935" s="444"/>
      <c r="Q935" s="444"/>
    </row>
    <row r="936" spans="6:17">
      <c r="F936" s="453"/>
      <c r="G936" s="444"/>
      <c r="H936" s="444"/>
      <c r="I936" s="444"/>
      <c r="J936" s="444"/>
      <c r="K936" s="444"/>
      <c r="L936" s="444"/>
      <c r="M936" s="444"/>
      <c r="N936" s="444"/>
      <c r="O936" s="444"/>
      <c r="P936" s="444"/>
      <c r="Q936" s="444"/>
    </row>
    <row r="937" spans="6:17">
      <c r="F937" s="453"/>
      <c r="G937" s="444"/>
      <c r="H937" s="444"/>
      <c r="I937" s="444"/>
      <c r="J937" s="444"/>
      <c r="K937" s="444"/>
      <c r="L937" s="444"/>
      <c r="M937" s="444"/>
      <c r="N937" s="444"/>
      <c r="O937" s="444"/>
      <c r="P937" s="444"/>
      <c r="Q937" s="444"/>
    </row>
    <row r="938" spans="6:17">
      <c r="F938" s="453"/>
      <c r="G938" s="444"/>
      <c r="H938" s="444"/>
      <c r="I938" s="444"/>
      <c r="J938" s="444"/>
      <c r="K938" s="444"/>
      <c r="L938" s="444"/>
      <c r="M938" s="444"/>
      <c r="N938" s="444"/>
      <c r="O938" s="444"/>
      <c r="P938" s="444"/>
      <c r="Q938" s="444"/>
    </row>
    <row r="939" spans="6:17">
      <c r="F939" s="453"/>
      <c r="G939" s="444"/>
      <c r="H939" s="444"/>
      <c r="I939" s="444"/>
      <c r="J939" s="444"/>
      <c r="K939" s="444"/>
      <c r="L939" s="444"/>
      <c r="M939" s="444"/>
      <c r="N939" s="444"/>
      <c r="O939" s="444"/>
      <c r="P939" s="444"/>
      <c r="Q939" s="444"/>
    </row>
    <row r="940" spans="6:17">
      <c r="F940" s="453"/>
      <c r="G940" s="444"/>
      <c r="H940" s="444"/>
      <c r="I940" s="444"/>
      <c r="J940" s="444"/>
      <c r="K940" s="444"/>
      <c r="L940" s="444"/>
      <c r="M940" s="444"/>
      <c r="N940" s="444"/>
      <c r="O940" s="444"/>
      <c r="P940" s="444"/>
      <c r="Q940" s="444"/>
    </row>
    <row r="941" spans="6:17">
      <c r="F941" s="453"/>
      <c r="G941" s="444"/>
      <c r="H941" s="444"/>
      <c r="I941" s="444"/>
      <c r="J941" s="444"/>
      <c r="K941" s="444"/>
      <c r="L941" s="444"/>
      <c r="M941" s="444"/>
      <c r="N941" s="444"/>
      <c r="O941" s="444"/>
      <c r="P941" s="444"/>
      <c r="Q941" s="444"/>
    </row>
    <row r="942" spans="6:17">
      <c r="F942" s="453"/>
      <c r="G942" s="444"/>
      <c r="H942" s="444"/>
      <c r="I942" s="444"/>
      <c r="J942" s="444"/>
      <c r="K942" s="444"/>
      <c r="L942" s="444"/>
      <c r="M942" s="444"/>
      <c r="N942" s="444"/>
      <c r="O942" s="444"/>
      <c r="P942" s="444"/>
      <c r="Q942" s="444"/>
    </row>
    <row r="943" spans="6:17">
      <c r="F943" s="453"/>
      <c r="G943" s="444"/>
      <c r="H943" s="444"/>
      <c r="I943" s="444"/>
      <c r="J943" s="444"/>
      <c r="K943" s="444"/>
      <c r="L943" s="444"/>
      <c r="M943" s="444"/>
      <c r="N943" s="444"/>
      <c r="O943" s="444"/>
      <c r="P943" s="444"/>
      <c r="Q943" s="444"/>
    </row>
    <row r="944" spans="6:17">
      <c r="F944" s="453"/>
      <c r="G944" s="444"/>
      <c r="H944" s="444"/>
      <c r="I944" s="444"/>
      <c r="J944" s="444"/>
      <c r="K944" s="444"/>
      <c r="L944" s="444"/>
      <c r="M944" s="444"/>
      <c r="N944" s="444"/>
      <c r="O944" s="444"/>
      <c r="P944" s="444"/>
      <c r="Q944" s="444"/>
    </row>
    <row r="945" spans="6:17">
      <c r="F945" s="453"/>
      <c r="G945" s="444"/>
      <c r="H945" s="444"/>
      <c r="I945" s="444"/>
      <c r="J945" s="444"/>
      <c r="K945" s="444"/>
      <c r="L945" s="444"/>
      <c r="M945" s="444"/>
      <c r="N945" s="444"/>
      <c r="O945" s="444"/>
      <c r="P945" s="444"/>
      <c r="Q945" s="444"/>
    </row>
    <row r="946" spans="6:17">
      <c r="F946" s="453"/>
      <c r="G946" s="444"/>
      <c r="H946" s="444"/>
      <c r="I946" s="444"/>
      <c r="J946" s="444"/>
      <c r="K946" s="444"/>
      <c r="L946" s="444"/>
      <c r="M946" s="444"/>
      <c r="N946" s="444"/>
      <c r="O946" s="444"/>
      <c r="P946" s="444"/>
      <c r="Q946" s="444"/>
    </row>
    <row r="947" spans="6:17">
      <c r="F947" s="453"/>
      <c r="G947" s="444"/>
      <c r="H947" s="444"/>
      <c r="I947" s="444"/>
      <c r="J947" s="444"/>
      <c r="K947" s="444"/>
      <c r="L947" s="444"/>
      <c r="M947" s="444"/>
      <c r="N947" s="444"/>
      <c r="O947" s="444"/>
      <c r="P947" s="444"/>
      <c r="Q947" s="444"/>
    </row>
    <row r="948" spans="6:17">
      <c r="F948" s="453"/>
      <c r="G948" s="444"/>
      <c r="H948" s="444"/>
      <c r="I948" s="444"/>
      <c r="J948" s="444"/>
      <c r="K948" s="444"/>
      <c r="L948" s="444"/>
      <c r="M948" s="444"/>
      <c r="N948" s="444"/>
      <c r="O948" s="444"/>
      <c r="P948" s="444"/>
      <c r="Q948" s="444"/>
    </row>
    <row r="949" spans="6:17">
      <c r="F949" s="453"/>
      <c r="G949" s="444"/>
      <c r="H949" s="444"/>
      <c r="I949" s="444"/>
      <c r="J949" s="444"/>
      <c r="K949" s="444"/>
      <c r="L949" s="444"/>
      <c r="M949" s="444"/>
      <c r="N949" s="444"/>
      <c r="O949" s="444"/>
      <c r="P949" s="444"/>
      <c r="Q949" s="444"/>
    </row>
    <row r="950" spans="6:17">
      <c r="F950" s="453"/>
      <c r="G950" s="444"/>
      <c r="H950" s="444"/>
      <c r="I950" s="444"/>
      <c r="J950" s="444"/>
      <c r="K950" s="444"/>
      <c r="L950" s="444"/>
      <c r="M950" s="444"/>
      <c r="N950" s="444"/>
      <c r="O950" s="444"/>
      <c r="P950" s="444"/>
      <c r="Q950" s="444"/>
    </row>
    <row r="951" spans="6:17">
      <c r="F951" s="453"/>
      <c r="G951" s="444"/>
      <c r="H951" s="444"/>
      <c r="I951" s="444"/>
      <c r="J951" s="444"/>
      <c r="K951" s="444"/>
      <c r="L951" s="444"/>
      <c r="M951" s="444"/>
      <c r="N951" s="444"/>
      <c r="O951" s="444"/>
      <c r="P951" s="444"/>
      <c r="Q951" s="444"/>
    </row>
    <row r="952" spans="6:17">
      <c r="F952" s="453"/>
      <c r="G952" s="444"/>
      <c r="H952" s="444"/>
      <c r="I952" s="444"/>
      <c r="J952" s="444"/>
      <c r="K952" s="444"/>
      <c r="L952" s="444"/>
      <c r="M952" s="444"/>
      <c r="N952" s="444"/>
      <c r="O952" s="444"/>
      <c r="P952" s="444"/>
      <c r="Q952" s="444"/>
    </row>
    <row r="953" spans="6:17">
      <c r="F953" s="453"/>
      <c r="G953" s="444"/>
      <c r="H953" s="444"/>
      <c r="I953" s="444"/>
      <c r="J953" s="444"/>
      <c r="K953" s="444"/>
      <c r="L953" s="444"/>
      <c r="M953" s="444"/>
      <c r="N953" s="444"/>
      <c r="O953" s="444"/>
      <c r="P953" s="444"/>
      <c r="Q953" s="444"/>
    </row>
    <row r="954" spans="6:17">
      <c r="F954" s="453"/>
      <c r="G954" s="444"/>
      <c r="H954" s="444"/>
      <c r="I954" s="444"/>
      <c r="J954" s="444"/>
      <c r="K954" s="444"/>
      <c r="L954" s="444"/>
      <c r="M954" s="444"/>
      <c r="N954" s="444"/>
      <c r="O954" s="444"/>
      <c r="P954" s="444"/>
      <c r="Q954" s="444"/>
    </row>
    <row r="955" spans="6:17">
      <c r="F955" s="453"/>
      <c r="G955" s="444"/>
      <c r="H955" s="444"/>
      <c r="I955" s="444"/>
      <c r="J955" s="444"/>
      <c r="K955" s="444"/>
      <c r="L955" s="444"/>
      <c r="M955" s="444"/>
      <c r="N955" s="444"/>
      <c r="O955" s="444"/>
      <c r="P955" s="444"/>
      <c r="Q955" s="444"/>
    </row>
    <row r="956" spans="6:17">
      <c r="F956" s="453"/>
      <c r="G956" s="444"/>
      <c r="H956" s="444"/>
      <c r="I956" s="444"/>
      <c r="J956" s="444"/>
      <c r="K956" s="444"/>
      <c r="L956" s="444"/>
      <c r="M956" s="444"/>
      <c r="N956" s="444"/>
      <c r="O956" s="444"/>
      <c r="P956" s="444"/>
      <c r="Q956" s="444"/>
    </row>
    <row r="957" spans="6:17">
      <c r="F957" s="453"/>
      <c r="G957" s="444"/>
      <c r="H957" s="444"/>
      <c r="I957" s="444"/>
      <c r="J957" s="444"/>
      <c r="K957" s="444"/>
      <c r="L957" s="444"/>
      <c r="M957" s="444"/>
      <c r="N957" s="444"/>
      <c r="O957" s="444"/>
      <c r="P957" s="444"/>
      <c r="Q957" s="444"/>
    </row>
    <row r="958" spans="6:17">
      <c r="F958" s="453"/>
      <c r="G958" s="444"/>
      <c r="H958" s="444"/>
      <c r="I958" s="444"/>
      <c r="J958" s="444"/>
      <c r="K958" s="444"/>
      <c r="L958" s="444"/>
      <c r="M958" s="444"/>
      <c r="N958" s="444"/>
      <c r="O958" s="444"/>
      <c r="P958" s="444"/>
      <c r="Q958" s="444"/>
    </row>
    <row r="959" spans="6:17">
      <c r="F959" s="453"/>
      <c r="G959" s="444"/>
      <c r="H959" s="444"/>
      <c r="I959" s="444"/>
      <c r="J959" s="444"/>
      <c r="K959" s="444"/>
      <c r="L959" s="444"/>
      <c r="M959" s="444"/>
      <c r="N959" s="444"/>
      <c r="O959" s="444"/>
      <c r="P959" s="444"/>
      <c r="Q959" s="444"/>
    </row>
    <row r="960" spans="6:17">
      <c r="F960" s="453"/>
      <c r="G960" s="444"/>
      <c r="H960" s="444"/>
      <c r="I960" s="444"/>
      <c r="J960" s="444"/>
      <c r="K960" s="444"/>
      <c r="L960" s="444"/>
      <c r="M960" s="444"/>
      <c r="N960" s="444"/>
      <c r="O960" s="444"/>
      <c r="P960" s="444"/>
      <c r="Q960" s="444"/>
    </row>
    <row r="961" spans="6:17">
      <c r="F961" s="453"/>
      <c r="G961" s="444"/>
      <c r="H961" s="444"/>
      <c r="I961" s="444"/>
      <c r="J961" s="444"/>
      <c r="K961" s="444"/>
      <c r="L961" s="444"/>
      <c r="M961" s="444"/>
      <c r="N961" s="444"/>
      <c r="O961" s="444"/>
      <c r="P961" s="444"/>
      <c r="Q961" s="444"/>
    </row>
    <row r="962" spans="6:17">
      <c r="F962" s="453"/>
      <c r="G962" s="444"/>
      <c r="H962" s="444"/>
      <c r="I962" s="444"/>
      <c r="J962" s="444"/>
      <c r="K962" s="444"/>
      <c r="L962" s="444"/>
      <c r="M962" s="444"/>
      <c r="N962" s="444"/>
      <c r="O962" s="444"/>
      <c r="P962" s="444"/>
      <c r="Q962" s="444"/>
    </row>
    <row r="963" spans="6:17">
      <c r="F963" s="453"/>
      <c r="G963" s="444"/>
      <c r="H963" s="444"/>
      <c r="I963" s="444"/>
      <c r="J963" s="444"/>
      <c r="K963" s="444"/>
      <c r="L963" s="444"/>
      <c r="M963" s="444"/>
      <c r="N963" s="444"/>
      <c r="O963" s="444"/>
      <c r="P963" s="444"/>
      <c r="Q963" s="444"/>
    </row>
    <row r="964" spans="6:17">
      <c r="F964" s="453"/>
      <c r="G964" s="444"/>
      <c r="H964" s="444"/>
      <c r="I964" s="444"/>
      <c r="J964" s="444"/>
      <c r="K964" s="444"/>
      <c r="L964" s="444"/>
      <c r="M964" s="444"/>
      <c r="N964" s="444"/>
      <c r="O964" s="444"/>
      <c r="P964" s="444"/>
      <c r="Q964" s="444"/>
    </row>
    <row r="965" spans="6:17">
      <c r="F965" s="453"/>
      <c r="G965" s="444"/>
      <c r="H965" s="444"/>
      <c r="I965" s="444"/>
      <c r="J965" s="444"/>
      <c r="K965" s="444"/>
      <c r="L965" s="444"/>
      <c r="M965" s="444"/>
      <c r="N965" s="444"/>
      <c r="O965" s="444"/>
      <c r="P965" s="444"/>
      <c r="Q965" s="444"/>
    </row>
    <row r="966" spans="6:17">
      <c r="F966" s="453"/>
      <c r="G966" s="444"/>
      <c r="H966" s="444"/>
      <c r="I966" s="444"/>
      <c r="J966" s="444"/>
      <c r="K966" s="444"/>
      <c r="L966" s="444"/>
      <c r="M966" s="444"/>
      <c r="N966" s="444"/>
      <c r="O966" s="444"/>
      <c r="P966" s="444"/>
      <c r="Q966" s="444"/>
    </row>
    <row r="967" spans="6:17">
      <c r="F967" s="453"/>
      <c r="G967" s="444"/>
      <c r="H967" s="444"/>
      <c r="I967" s="444"/>
      <c r="J967" s="444"/>
      <c r="K967" s="444"/>
      <c r="L967" s="444"/>
      <c r="M967" s="444"/>
      <c r="N967" s="444"/>
      <c r="O967" s="444"/>
      <c r="P967" s="444"/>
      <c r="Q967" s="444"/>
    </row>
    <row r="968" spans="6:17">
      <c r="F968" s="453"/>
      <c r="G968" s="444"/>
      <c r="H968" s="444"/>
      <c r="I968" s="444"/>
      <c r="J968" s="444"/>
      <c r="K968" s="444"/>
      <c r="L968" s="444"/>
      <c r="M968" s="444"/>
      <c r="N968" s="444"/>
      <c r="O968" s="444"/>
      <c r="P968" s="444"/>
      <c r="Q968" s="444"/>
    </row>
    <row r="969" spans="6:17">
      <c r="F969" s="453"/>
      <c r="G969" s="444"/>
      <c r="H969" s="444"/>
      <c r="I969" s="444"/>
      <c r="J969" s="444"/>
      <c r="K969" s="444"/>
      <c r="L969" s="444"/>
      <c r="M969" s="444"/>
      <c r="N969" s="444"/>
      <c r="O969" s="444"/>
      <c r="P969" s="444"/>
      <c r="Q969" s="444"/>
    </row>
    <row r="970" spans="6:17">
      <c r="F970" s="453"/>
      <c r="G970" s="444"/>
      <c r="H970" s="444"/>
      <c r="I970" s="444"/>
      <c r="J970" s="444"/>
      <c r="K970" s="444"/>
      <c r="L970" s="444"/>
      <c r="M970" s="444"/>
      <c r="N970" s="444"/>
      <c r="O970" s="444"/>
      <c r="P970" s="444"/>
      <c r="Q970" s="444"/>
    </row>
    <row r="971" spans="6:17">
      <c r="F971" s="453"/>
      <c r="G971" s="444"/>
      <c r="H971" s="444"/>
      <c r="I971" s="444"/>
      <c r="J971" s="444"/>
      <c r="K971" s="444"/>
      <c r="L971" s="444"/>
      <c r="M971" s="444"/>
      <c r="N971" s="444"/>
      <c r="O971" s="444"/>
      <c r="P971" s="444"/>
      <c r="Q971" s="444"/>
    </row>
    <row r="972" spans="6:17">
      <c r="F972" s="453"/>
      <c r="G972" s="444"/>
      <c r="H972" s="444"/>
      <c r="I972" s="444"/>
      <c r="J972" s="444"/>
      <c r="K972" s="444"/>
      <c r="L972" s="444"/>
      <c r="M972" s="444"/>
      <c r="N972" s="444"/>
      <c r="O972" s="444"/>
      <c r="P972" s="444"/>
      <c r="Q972" s="444"/>
    </row>
    <row r="973" spans="6:17">
      <c r="F973" s="453"/>
      <c r="G973" s="444"/>
      <c r="H973" s="444"/>
      <c r="I973" s="444"/>
      <c r="J973" s="444"/>
      <c r="K973" s="444"/>
      <c r="L973" s="444"/>
      <c r="M973" s="444"/>
      <c r="N973" s="444"/>
      <c r="O973" s="444"/>
      <c r="P973" s="444"/>
      <c r="Q973" s="444"/>
    </row>
    <row r="974" spans="6:17">
      <c r="F974" s="453"/>
      <c r="G974" s="444"/>
      <c r="H974" s="444"/>
      <c r="I974" s="444"/>
      <c r="J974" s="444"/>
      <c r="K974" s="444"/>
      <c r="L974" s="444"/>
      <c r="M974" s="444"/>
      <c r="N974" s="444"/>
      <c r="O974" s="444"/>
      <c r="P974" s="444"/>
      <c r="Q974" s="444"/>
    </row>
    <row r="975" spans="6:17">
      <c r="F975" s="453"/>
      <c r="G975" s="444"/>
      <c r="H975" s="444"/>
      <c r="I975" s="444"/>
      <c r="J975" s="444"/>
      <c r="K975" s="444"/>
      <c r="L975" s="444"/>
      <c r="M975" s="444"/>
      <c r="N975" s="444"/>
      <c r="O975" s="444"/>
      <c r="P975" s="444"/>
      <c r="Q975" s="444"/>
    </row>
    <row r="976" spans="6:17">
      <c r="F976" s="453"/>
      <c r="G976" s="444"/>
      <c r="H976" s="444"/>
      <c r="I976" s="444"/>
      <c r="J976" s="444"/>
      <c r="K976" s="444"/>
      <c r="L976" s="444"/>
      <c r="M976" s="444"/>
      <c r="N976" s="444"/>
      <c r="O976" s="444"/>
      <c r="P976" s="444"/>
      <c r="Q976" s="444"/>
    </row>
    <row r="977" spans="6:17">
      <c r="F977" s="453"/>
      <c r="G977" s="444"/>
      <c r="H977" s="444"/>
      <c r="I977" s="444"/>
      <c r="J977" s="444"/>
      <c r="K977" s="444"/>
      <c r="L977" s="444"/>
      <c r="M977" s="444"/>
      <c r="N977" s="444"/>
      <c r="O977" s="444"/>
      <c r="P977" s="444"/>
      <c r="Q977" s="444"/>
    </row>
    <row r="978" spans="6:17">
      <c r="F978" s="453"/>
      <c r="G978" s="444"/>
      <c r="H978" s="444"/>
      <c r="I978" s="444"/>
      <c r="J978" s="444"/>
      <c r="K978" s="444"/>
      <c r="L978" s="444"/>
      <c r="M978" s="444"/>
      <c r="N978" s="444"/>
      <c r="O978" s="444"/>
      <c r="P978" s="444"/>
      <c r="Q978" s="444"/>
    </row>
    <row r="979" spans="6:17">
      <c r="F979" s="453"/>
      <c r="G979" s="444"/>
      <c r="H979" s="444"/>
      <c r="I979" s="444"/>
      <c r="J979" s="444"/>
      <c r="K979" s="444"/>
      <c r="L979" s="444"/>
      <c r="M979" s="444"/>
      <c r="N979" s="444"/>
      <c r="O979" s="444"/>
      <c r="P979" s="444"/>
      <c r="Q979" s="444"/>
    </row>
    <row r="980" spans="6:17">
      <c r="F980" s="453"/>
      <c r="G980" s="444"/>
      <c r="H980" s="444"/>
      <c r="I980" s="444"/>
      <c r="J980" s="444"/>
      <c r="K980" s="444"/>
      <c r="L980" s="444"/>
      <c r="M980" s="444"/>
      <c r="N980" s="444"/>
      <c r="O980" s="444"/>
      <c r="P980" s="444"/>
      <c r="Q980" s="444"/>
    </row>
    <row r="981" spans="6:17">
      <c r="F981" s="453"/>
      <c r="G981" s="444"/>
      <c r="H981" s="444"/>
      <c r="I981" s="444"/>
      <c r="J981" s="444"/>
      <c r="K981" s="444"/>
      <c r="L981" s="444"/>
      <c r="M981" s="444"/>
      <c r="N981" s="444"/>
      <c r="O981" s="444"/>
      <c r="P981" s="444"/>
      <c r="Q981" s="444"/>
    </row>
    <row r="982" spans="6:17">
      <c r="F982" s="453"/>
      <c r="G982" s="444"/>
      <c r="H982" s="444"/>
      <c r="I982" s="444"/>
      <c r="J982" s="444"/>
      <c r="K982" s="444"/>
      <c r="L982" s="444"/>
      <c r="M982" s="444"/>
      <c r="N982" s="444"/>
      <c r="O982" s="444"/>
      <c r="P982" s="444"/>
      <c r="Q982" s="444"/>
    </row>
    <row r="983" spans="6:17">
      <c r="F983" s="453"/>
      <c r="G983" s="444"/>
      <c r="H983" s="444"/>
      <c r="I983" s="444"/>
      <c r="J983" s="444"/>
      <c r="K983" s="444"/>
      <c r="L983" s="444"/>
      <c r="M983" s="444"/>
      <c r="N983" s="444"/>
      <c r="O983" s="444"/>
      <c r="P983" s="444"/>
      <c r="Q983" s="444"/>
    </row>
    <row r="984" spans="6:17">
      <c r="F984" s="453"/>
      <c r="G984" s="444"/>
      <c r="H984" s="444"/>
      <c r="I984" s="444"/>
      <c r="J984" s="444"/>
      <c r="K984" s="444"/>
      <c r="L984" s="444"/>
      <c r="M984" s="444"/>
      <c r="N984" s="444"/>
      <c r="O984" s="444"/>
      <c r="P984" s="444"/>
      <c r="Q984" s="444"/>
    </row>
    <row r="985" spans="6:17">
      <c r="F985" s="453"/>
      <c r="G985" s="444"/>
      <c r="H985" s="444"/>
      <c r="I985" s="444"/>
      <c r="J985" s="444"/>
      <c r="K985" s="444"/>
      <c r="L985" s="444"/>
      <c r="M985" s="444"/>
      <c r="N985" s="444"/>
      <c r="O985" s="444"/>
      <c r="P985" s="444"/>
      <c r="Q985" s="444"/>
    </row>
    <row r="986" spans="6:17">
      <c r="F986" s="453"/>
      <c r="G986" s="444"/>
      <c r="H986" s="444"/>
      <c r="I986" s="444"/>
      <c r="J986" s="444"/>
      <c r="K986" s="444"/>
      <c r="L986" s="444"/>
      <c r="M986" s="444"/>
      <c r="N986" s="444"/>
      <c r="O986" s="444"/>
      <c r="P986" s="444"/>
      <c r="Q986" s="444"/>
    </row>
    <row r="987" spans="6:17">
      <c r="F987" s="453"/>
      <c r="G987" s="444"/>
      <c r="H987" s="444"/>
      <c r="I987" s="444"/>
      <c r="J987" s="444"/>
      <c r="K987" s="444"/>
      <c r="L987" s="444"/>
      <c r="M987" s="444"/>
      <c r="N987" s="444"/>
      <c r="O987" s="444"/>
      <c r="P987" s="444"/>
      <c r="Q987" s="444"/>
    </row>
    <row r="988" spans="6:17">
      <c r="F988" s="453"/>
      <c r="G988" s="444"/>
      <c r="H988" s="444"/>
      <c r="I988" s="444"/>
      <c r="J988" s="444"/>
      <c r="K988" s="444"/>
      <c r="L988" s="444"/>
      <c r="M988" s="444"/>
      <c r="N988" s="444"/>
      <c r="O988" s="444"/>
      <c r="P988" s="444"/>
      <c r="Q988" s="444"/>
    </row>
    <row r="989" spans="6:17">
      <c r="F989" s="453"/>
      <c r="G989" s="444"/>
      <c r="H989" s="444"/>
      <c r="I989" s="444"/>
      <c r="J989" s="444"/>
      <c r="K989" s="444"/>
      <c r="L989" s="444"/>
      <c r="M989" s="444"/>
      <c r="N989" s="444"/>
      <c r="O989" s="444"/>
      <c r="P989" s="444"/>
      <c r="Q989" s="444"/>
    </row>
    <row r="990" spans="6:17">
      <c r="F990" s="453"/>
      <c r="G990" s="444"/>
      <c r="H990" s="444"/>
      <c r="I990" s="444"/>
      <c r="J990" s="444"/>
      <c r="K990" s="444"/>
      <c r="L990" s="444"/>
      <c r="M990" s="444"/>
      <c r="N990" s="444"/>
      <c r="O990" s="444"/>
      <c r="P990" s="444"/>
      <c r="Q990" s="444"/>
    </row>
    <row r="991" spans="6:17">
      <c r="F991" s="453"/>
      <c r="G991" s="444"/>
      <c r="H991" s="444"/>
      <c r="I991" s="444"/>
      <c r="J991" s="444"/>
      <c r="K991" s="444"/>
      <c r="L991" s="444"/>
      <c r="M991" s="444"/>
      <c r="N991" s="444"/>
      <c r="O991" s="444"/>
      <c r="P991" s="444"/>
      <c r="Q991" s="444"/>
    </row>
    <row r="992" spans="6:17">
      <c r="F992" s="453"/>
      <c r="G992" s="444"/>
      <c r="H992" s="444"/>
      <c r="I992" s="444"/>
      <c r="J992" s="444"/>
      <c r="K992" s="444"/>
      <c r="L992" s="444"/>
      <c r="M992" s="444"/>
      <c r="N992" s="444"/>
      <c r="O992" s="444"/>
      <c r="P992" s="444"/>
      <c r="Q992" s="444"/>
    </row>
    <row r="993" spans="6:17">
      <c r="F993" s="453"/>
      <c r="G993" s="444"/>
      <c r="H993" s="444"/>
      <c r="I993" s="444"/>
      <c r="J993" s="444"/>
      <c r="K993" s="444"/>
      <c r="L993" s="444"/>
      <c r="M993" s="444"/>
      <c r="N993" s="444"/>
      <c r="O993" s="444"/>
      <c r="P993" s="444"/>
      <c r="Q993" s="444"/>
    </row>
    <row r="994" spans="6:17">
      <c r="F994" s="453"/>
      <c r="G994" s="444"/>
      <c r="H994" s="444"/>
      <c r="I994" s="444"/>
      <c r="J994" s="444"/>
      <c r="K994" s="444"/>
      <c r="L994" s="444"/>
      <c r="M994" s="444"/>
      <c r="N994" s="444"/>
      <c r="O994" s="444"/>
      <c r="P994" s="444"/>
      <c r="Q994" s="444"/>
    </row>
    <row r="995" spans="6:17">
      <c r="F995" s="453"/>
      <c r="G995" s="444"/>
      <c r="H995" s="444"/>
      <c r="I995" s="444"/>
      <c r="J995" s="444"/>
      <c r="K995" s="444"/>
      <c r="L995" s="444"/>
      <c r="M995" s="444"/>
      <c r="N995" s="444"/>
      <c r="O995" s="444"/>
      <c r="P995" s="444"/>
      <c r="Q995" s="444"/>
    </row>
    <row r="996" spans="6:17">
      <c r="F996" s="453"/>
      <c r="G996" s="444"/>
      <c r="H996" s="444"/>
      <c r="I996" s="444"/>
      <c r="J996" s="444"/>
      <c r="K996" s="444"/>
      <c r="L996" s="444"/>
      <c r="M996" s="444"/>
      <c r="N996" s="444"/>
      <c r="O996" s="444"/>
      <c r="P996" s="444"/>
      <c r="Q996" s="444"/>
    </row>
    <row r="997" spans="6:17">
      <c r="F997" s="453"/>
      <c r="G997" s="444"/>
      <c r="H997" s="444"/>
      <c r="I997" s="444"/>
      <c r="J997" s="444"/>
      <c r="K997" s="444"/>
      <c r="L997" s="444"/>
      <c r="M997" s="444"/>
      <c r="N997" s="444"/>
      <c r="O997" s="444"/>
      <c r="P997" s="444"/>
      <c r="Q997" s="444"/>
    </row>
    <row r="998" spans="6:17">
      <c r="F998" s="453"/>
      <c r="G998" s="444"/>
      <c r="H998" s="444"/>
      <c r="I998" s="444"/>
      <c r="J998" s="444"/>
      <c r="K998" s="444"/>
      <c r="L998" s="444"/>
      <c r="M998" s="444"/>
      <c r="N998" s="444"/>
      <c r="O998" s="444"/>
      <c r="P998" s="444"/>
      <c r="Q998" s="444"/>
    </row>
    <row r="999" spans="6:17">
      <c r="F999" s="453"/>
      <c r="G999" s="444"/>
      <c r="H999" s="444"/>
      <c r="I999" s="444"/>
      <c r="J999" s="444"/>
      <c r="K999" s="444"/>
      <c r="L999" s="444"/>
      <c r="M999" s="444"/>
      <c r="N999" s="444"/>
      <c r="O999" s="444"/>
      <c r="P999" s="444"/>
      <c r="Q999" s="444"/>
    </row>
    <row r="1000" spans="6:17">
      <c r="F1000" s="453"/>
      <c r="G1000" s="444"/>
      <c r="H1000" s="444"/>
      <c r="I1000" s="444"/>
      <c r="J1000" s="444"/>
      <c r="K1000" s="444"/>
      <c r="L1000" s="444"/>
      <c r="M1000" s="444"/>
      <c r="N1000" s="444"/>
      <c r="O1000" s="444"/>
      <c r="P1000" s="444"/>
      <c r="Q1000" s="444"/>
    </row>
    <row r="1001" spans="6:17">
      <c r="F1001" s="453"/>
      <c r="G1001" s="444"/>
      <c r="H1001" s="444"/>
      <c r="I1001" s="444"/>
      <c r="J1001" s="444"/>
      <c r="K1001" s="444"/>
      <c r="L1001" s="444"/>
      <c r="M1001" s="444"/>
      <c r="N1001" s="444"/>
      <c r="O1001" s="444"/>
      <c r="P1001" s="444"/>
      <c r="Q1001" s="444"/>
    </row>
    <row r="1002" spans="6:17">
      <c r="F1002" s="453"/>
      <c r="G1002" s="444"/>
      <c r="H1002" s="444"/>
      <c r="I1002" s="444"/>
      <c r="J1002" s="444"/>
      <c r="K1002" s="444"/>
      <c r="L1002" s="444"/>
      <c r="M1002" s="444"/>
      <c r="N1002" s="444"/>
      <c r="O1002" s="444"/>
      <c r="P1002" s="444"/>
      <c r="Q1002" s="444"/>
    </row>
    <row r="1003" spans="6:17">
      <c r="F1003" s="453"/>
      <c r="G1003" s="444"/>
      <c r="H1003" s="444"/>
      <c r="I1003" s="444"/>
      <c r="J1003" s="444"/>
      <c r="K1003" s="444"/>
      <c r="L1003" s="444"/>
      <c r="M1003" s="444"/>
      <c r="N1003" s="444"/>
      <c r="O1003" s="444"/>
      <c r="P1003" s="444"/>
      <c r="Q1003" s="444"/>
    </row>
    <row r="1004" spans="6:17">
      <c r="F1004" s="453"/>
      <c r="G1004" s="444"/>
      <c r="H1004" s="444"/>
      <c r="I1004" s="444"/>
      <c r="J1004" s="444"/>
      <c r="K1004" s="444"/>
      <c r="L1004" s="444"/>
      <c r="M1004" s="444"/>
      <c r="N1004" s="444"/>
      <c r="O1004" s="444"/>
      <c r="P1004" s="444"/>
      <c r="Q1004" s="444"/>
    </row>
    <row r="1005" spans="6:17">
      <c r="F1005" s="453"/>
      <c r="G1005" s="444"/>
      <c r="H1005" s="444"/>
      <c r="I1005" s="444"/>
      <c r="J1005" s="444"/>
      <c r="K1005" s="444"/>
      <c r="L1005" s="444"/>
      <c r="M1005" s="444"/>
      <c r="N1005" s="444"/>
      <c r="O1005" s="444"/>
      <c r="P1005" s="444"/>
      <c r="Q1005" s="444"/>
    </row>
    <row r="1006" spans="6:17">
      <c r="F1006" s="453"/>
      <c r="G1006" s="444"/>
      <c r="H1006" s="444"/>
      <c r="I1006" s="444"/>
      <c r="J1006" s="444"/>
      <c r="K1006" s="444"/>
      <c r="L1006" s="444"/>
      <c r="M1006" s="444"/>
      <c r="N1006" s="444"/>
      <c r="O1006" s="444"/>
      <c r="P1006" s="444"/>
      <c r="Q1006" s="444"/>
    </row>
    <row r="1007" spans="6:17">
      <c r="F1007" s="453"/>
      <c r="G1007" s="444"/>
      <c r="H1007" s="444"/>
      <c r="I1007" s="444"/>
      <c r="J1007" s="444"/>
      <c r="K1007" s="444"/>
      <c r="L1007" s="444"/>
      <c r="M1007" s="444"/>
      <c r="N1007" s="444"/>
      <c r="O1007" s="444"/>
      <c r="P1007" s="444"/>
      <c r="Q1007" s="444"/>
    </row>
    <row r="1008" spans="6:17">
      <c r="F1008" s="453"/>
      <c r="G1008" s="444"/>
      <c r="H1008" s="444"/>
      <c r="I1008" s="444"/>
      <c r="J1008" s="444"/>
      <c r="K1008" s="444"/>
      <c r="L1008" s="444"/>
      <c r="M1008" s="444"/>
      <c r="N1008" s="444"/>
      <c r="O1008" s="444"/>
      <c r="P1008" s="444"/>
      <c r="Q1008" s="444"/>
    </row>
    <row r="1009" spans="6:17">
      <c r="F1009" s="453"/>
      <c r="G1009" s="444"/>
      <c r="H1009" s="444"/>
      <c r="I1009" s="444"/>
      <c r="J1009" s="444"/>
      <c r="K1009" s="444"/>
      <c r="L1009" s="444"/>
      <c r="M1009" s="444"/>
      <c r="N1009" s="444"/>
      <c r="O1009" s="444"/>
      <c r="P1009" s="444"/>
      <c r="Q1009" s="444"/>
    </row>
    <row r="1010" spans="6:17">
      <c r="F1010" s="453"/>
      <c r="G1010" s="444"/>
      <c r="H1010" s="444"/>
      <c r="I1010" s="444"/>
      <c r="J1010" s="444"/>
      <c r="K1010" s="444"/>
      <c r="L1010" s="444"/>
      <c r="M1010" s="444"/>
      <c r="N1010" s="444"/>
      <c r="O1010" s="444"/>
      <c r="P1010" s="444"/>
      <c r="Q1010" s="444"/>
    </row>
    <row r="1011" spans="6:17">
      <c r="F1011" s="453"/>
      <c r="G1011" s="444"/>
      <c r="H1011" s="444"/>
      <c r="I1011" s="444"/>
      <c r="J1011" s="444"/>
      <c r="K1011" s="444"/>
      <c r="L1011" s="444"/>
      <c r="M1011" s="444"/>
      <c r="N1011" s="444"/>
      <c r="O1011" s="444"/>
      <c r="P1011" s="444"/>
      <c r="Q1011" s="444"/>
    </row>
    <row r="1012" spans="6:17">
      <c r="F1012" s="453"/>
      <c r="G1012" s="444"/>
      <c r="H1012" s="444"/>
      <c r="I1012" s="444"/>
      <c r="J1012" s="444"/>
      <c r="K1012" s="444"/>
      <c r="L1012" s="444"/>
      <c r="M1012" s="444"/>
      <c r="N1012" s="444"/>
      <c r="O1012" s="444"/>
      <c r="P1012" s="444"/>
      <c r="Q1012" s="444"/>
    </row>
    <row r="1013" spans="6:17">
      <c r="F1013" s="453"/>
      <c r="G1013" s="444"/>
      <c r="H1013" s="444"/>
      <c r="I1013" s="444"/>
      <c r="J1013" s="444"/>
      <c r="K1013" s="444"/>
      <c r="L1013" s="444"/>
      <c r="M1013" s="444"/>
      <c r="N1013" s="444"/>
      <c r="O1013" s="444"/>
      <c r="P1013" s="444"/>
      <c r="Q1013" s="444"/>
    </row>
    <row r="1014" spans="6:17">
      <c r="F1014" s="453"/>
      <c r="G1014" s="444"/>
      <c r="H1014" s="444"/>
      <c r="I1014" s="444"/>
      <c r="J1014" s="444"/>
      <c r="K1014" s="444"/>
      <c r="L1014" s="444"/>
      <c r="M1014" s="444"/>
      <c r="N1014" s="444"/>
      <c r="O1014" s="444"/>
      <c r="P1014" s="444"/>
      <c r="Q1014" s="444"/>
    </row>
    <row r="1015" spans="6:17">
      <c r="F1015" s="453"/>
      <c r="G1015" s="444"/>
      <c r="H1015" s="444"/>
      <c r="I1015" s="444"/>
      <c r="J1015" s="444"/>
      <c r="K1015" s="444"/>
      <c r="L1015" s="444"/>
      <c r="M1015" s="444"/>
      <c r="N1015" s="444"/>
      <c r="O1015" s="444"/>
      <c r="P1015" s="444"/>
      <c r="Q1015" s="444"/>
    </row>
    <row r="1016" spans="6:17">
      <c r="F1016" s="453"/>
      <c r="G1016" s="444"/>
      <c r="H1016" s="444"/>
      <c r="I1016" s="444"/>
      <c r="J1016" s="444"/>
      <c r="K1016" s="444"/>
      <c r="L1016" s="444"/>
      <c r="M1016" s="444"/>
      <c r="N1016" s="444"/>
      <c r="O1016" s="444"/>
      <c r="P1016" s="444"/>
      <c r="Q1016" s="444"/>
    </row>
    <row r="1017" spans="6:17">
      <c r="F1017" s="453"/>
      <c r="G1017" s="444"/>
      <c r="H1017" s="444"/>
      <c r="I1017" s="444"/>
      <c r="J1017" s="444"/>
      <c r="K1017" s="444"/>
      <c r="L1017" s="444"/>
      <c r="M1017" s="444"/>
      <c r="N1017" s="444"/>
      <c r="O1017" s="444"/>
      <c r="P1017" s="444"/>
      <c r="Q1017" s="444"/>
    </row>
    <row r="1018" spans="6:17">
      <c r="F1018" s="453"/>
      <c r="G1018" s="444"/>
      <c r="H1018" s="444"/>
      <c r="I1018" s="444"/>
      <c r="J1018" s="444"/>
      <c r="K1018" s="444"/>
      <c r="L1018" s="444"/>
      <c r="M1018" s="444"/>
      <c r="N1018" s="444"/>
      <c r="O1018" s="444"/>
      <c r="P1018" s="444"/>
      <c r="Q1018" s="444"/>
    </row>
    <row r="1019" spans="6:17">
      <c r="F1019" s="453"/>
      <c r="G1019" s="444"/>
      <c r="H1019" s="444"/>
      <c r="I1019" s="444"/>
      <c r="J1019" s="444"/>
      <c r="K1019" s="444"/>
      <c r="L1019" s="444"/>
      <c r="M1019" s="444"/>
      <c r="N1019" s="444"/>
      <c r="O1019" s="444"/>
      <c r="P1019" s="444"/>
      <c r="Q1019" s="444"/>
    </row>
    <row r="1020" spans="6:17">
      <c r="F1020" s="453"/>
      <c r="G1020" s="444"/>
      <c r="H1020" s="444"/>
      <c r="I1020" s="444"/>
      <c r="J1020" s="444"/>
      <c r="K1020" s="444"/>
      <c r="L1020" s="444"/>
      <c r="M1020" s="444"/>
      <c r="N1020" s="444"/>
      <c r="O1020" s="444"/>
      <c r="P1020" s="444"/>
      <c r="Q1020" s="444"/>
    </row>
    <row r="1021" spans="6:17">
      <c r="F1021" s="453"/>
      <c r="G1021" s="444"/>
      <c r="H1021" s="444"/>
      <c r="I1021" s="444"/>
      <c r="J1021" s="444"/>
      <c r="K1021" s="444"/>
      <c r="L1021" s="444"/>
      <c r="M1021" s="444"/>
      <c r="N1021" s="444"/>
      <c r="O1021" s="444"/>
      <c r="P1021" s="444"/>
      <c r="Q1021" s="444"/>
    </row>
    <row r="1022" spans="6:17">
      <c r="F1022" s="453"/>
      <c r="G1022" s="444"/>
      <c r="H1022" s="444"/>
      <c r="I1022" s="444"/>
      <c r="J1022" s="444"/>
      <c r="K1022" s="444"/>
      <c r="L1022" s="444"/>
      <c r="M1022" s="444"/>
      <c r="N1022" s="444"/>
      <c r="O1022" s="444"/>
      <c r="P1022" s="444"/>
      <c r="Q1022" s="444"/>
    </row>
    <row r="1023" spans="6:17">
      <c r="F1023" s="453"/>
      <c r="G1023" s="444"/>
      <c r="H1023" s="444"/>
      <c r="I1023" s="444"/>
      <c r="J1023" s="444"/>
      <c r="K1023" s="444"/>
      <c r="L1023" s="444"/>
      <c r="M1023" s="444"/>
      <c r="N1023" s="444"/>
      <c r="O1023" s="444"/>
      <c r="P1023" s="444"/>
      <c r="Q1023" s="444"/>
    </row>
    <row r="1024" spans="6:17">
      <c r="F1024" s="453"/>
      <c r="G1024" s="444"/>
      <c r="H1024" s="444"/>
      <c r="I1024" s="444"/>
      <c r="J1024" s="444"/>
      <c r="K1024" s="444"/>
      <c r="L1024" s="444"/>
      <c r="M1024" s="444"/>
      <c r="N1024" s="444"/>
      <c r="O1024" s="444"/>
      <c r="P1024" s="444"/>
      <c r="Q1024" s="444"/>
    </row>
    <row r="1025" spans="6:17">
      <c r="F1025" s="453"/>
      <c r="G1025" s="444"/>
      <c r="H1025" s="444"/>
      <c r="I1025" s="444"/>
      <c r="J1025" s="444"/>
      <c r="K1025" s="444"/>
      <c r="L1025" s="444"/>
      <c r="M1025" s="444"/>
      <c r="N1025" s="444"/>
      <c r="O1025" s="444"/>
      <c r="P1025" s="444"/>
      <c r="Q1025" s="444"/>
    </row>
    <row r="1026" spans="6:17">
      <c r="F1026" s="453"/>
      <c r="G1026" s="444"/>
      <c r="H1026" s="444"/>
      <c r="I1026" s="444"/>
      <c r="J1026" s="444"/>
      <c r="K1026" s="444"/>
      <c r="L1026" s="444"/>
      <c r="M1026" s="444"/>
      <c r="N1026" s="444"/>
      <c r="O1026" s="444"/>
      <c r="P1026" s="444"/>
      <c r="Q1026" s="444"/>
    </row>
    <row r="1027" spans="6:17">
      <c r="F1027" s="453"/>
      <c r="G1027" s="444"/>
      <c r="H1027" s="444"/>
      <c r="I1027" s="444"/>
      <c r="J1027" s="444"/>
      <c r="K1027" s="444"/>
      <c r="L1027" s="444"/>
      <c r="M1027" s="444"/>
      <c r="N1027" s="444"/>
      <c r="O1027" s="444"/>
      <c r="P1027" s="444"/>
      <c r="Q1027" s="444"/>
    </row>
    <row r="1028" spans="6:17">
      <c r="F1028" s="453"/>
      <c r="G1028" s="444"/>
      <c r="H1028" s="444"/>
      <c r="I1028" s="444"/>
      <c r="J1028" s="444"/>
      <c r="K1028" s="444"/>
      <c r="L1028" s="444"/>
      <c r="M1028" s="444"/>
      <c r="N1028" s="444"/>
      <c r="O1028" s="444"/>
      <c r="P1028" s="444"/>
      <c r="Q1028" s="444"/>
    </row>
    <row r="1029" spans="6:17">
      <c r="F1029" s="453"/>
      <c r="G1029" s="444"/>
      <c r="H1029" s="444"/>
      <c r="I1029" s="444"/>
      <c r="J1029" s="444"/>
      <c r="K1029" s="444"/>
      <c r="L1029" s="444"/>
      <c r="M1029" s="444"/>
      <c r="N1029" s="444"/>
      <c r="O1029" s="444"/>
      <c r="P1029" s="444"/>
      <c r="Q1029" s="444"/>
    </row>
    <row r="1030" spans="6:17">
      <c r="F1030" s="453"/>
      <c r="G1030" s="444"/>
      <c r="H1030" s="444"/>
      <c r="I1030" s="444"/>
      <c r="J1030" s="444"/>
      <c r="K1030" s="444"/>
      <c r="L1030" s="444"/>
      <c r="M1030" s="444"/>
      <c r="N1030" s="444"/>
      <c r="O1030" s="444"/>
      <c r="P1030" s="444"/>
      <c r="Q1030" s="444"/>
    </row>
    <row r="1031" spans="6:17">
      <c r="F1031" s="453"/>
      <c r="G1031" s="444"/>
      <c r="H1031" s="444"/>
      <c r="I1031" s="444"/>
      <c r="J1031" s="444"/>
      <c r="K1031" s="444"/>
      <c r="L1031" s="444"/>
      <c r="M1031" s="444"/>
      <c r="N1031" s="444"/>
      <c r="O1031" s="444"/>
      <c r="P1031" s="444"/>
      <c r="Q1031" s="444"/>
    </row>
    <row r="1032" spans="6:17">
      <c r="F1032" s="453"/>
      <c r="G1032" s="444"/>
      <c r="H1032" s="444"/>
      <c r="I1032" s="444"/>
      <c r="J1032" s="444"/>
      <c r="K1032" s="444"/>
      <c r="L1032" s="444"/>
      <c r="M1032" s="444"/>
      <c r="N1032" s="444"/>
      <c r="O1032" s="444"/>
      <c r="P1032" s="444"/>
      <c r="Q1032" s="444"/>
    </row>
    <row r="1033" spans="6:17">
      <c r="F1033" s="453"/>
      <c r="G1033" s="444"/>
      <c r="H1033" s="444"/>
      <c r="I1033" s="444"/>
      <c r="J1033" s="444"/>
      <c r="K1033" s="444"/>
      <c r="L1033" s="444"/>
      <c r="M1033" s="444"/>
      <c r="N1033" s="444"/>
      <c r="O1033" s="444"/>
      <c r="P1033" s="444"/>
      <c r="Q1033" s="444"/>
    </row>
    <row r="1034" spans="6:17">
      <c r="F1034" s="453"/>
      <c r="G1034" s="444"/>
      <c r="H1034" s="444"/>
      <c r="I1034" s="444"/>
      <c r="J1034" s="444"/>
      <c r="K1034" s="444"/>
      <c r="L1034" s="444"/>
      <c r="M1034" s="444"/>
      <c r="N1034" s="444"/>
      <c r="O1034" s="444"/>
      <c r="P1034" s="444"/>
      <c r="Q1034" s="444"/>
    </row>
    <row r="1035" spans="6:17">
      <c r="F1035" s="453"/>
      <c r="G1035" s="444"/>
      <c r="H1035" s="444"/>
      <c r="I1035" s="444"/>
      <c r="J1035" s="444"/>
      <c r="K1035" s="444"/>
      <c r="L1035" s="444"/>
      <c r="M1035" s="444"/>
      <c r="N1035" s="444"/>
      <c r="O1035" s="444"/>
      <c r="P1035" s="444"/>
      <c r="Q1035" s="444"/>
    </row>
    <row r="1036" spans="6:17">
      <c r="F1036" s="453"/>
      <c r="G1036" s="444"/>
      <c r="H1036" s="444"/>
      <c r="I1036" s="444"/>
      <c r="J1036" s="444"/>
      <c r="K1036" s="444"/>
      <c r="L1036" s="444"/>
      <c r="M1036" s="444"/>
      <c r="N1036" s="444"/>
      <c r="O1036" s="444"/>
      <c r="P1036" s="444"/>
      <c r="Q1036" s="444"/>
    </row>
    <row r="1037" spans="6:17">
      <c r="F1037" s="453"/>
      <c r="G1037" s="444"/>
      <c r="H1037" s="444"/>
      <c r="I1037" s="444"/>
      <c r="J1037" s="444"/>
      <c r="K1037" s="444"/>
      <c r="L1037" s="444"/>
      <c r="M1037" s="444"/>
      <c r="N1037" s="444"/>
      <c r="O1037" s="444"/>
      <c r="P1037" s="444"/>
      <c r="Q1037" s="444"/>
    </row>
    <row r="1038" spans="6:17">
      <c r="F1038" s="453"/>
      <c r="G1038" s="444"/>
      <c r="H1038" s="444"/>
      <c r="I1038" s="444"/>
      <c r="J1038" s="444"/>
      <c r="K1038" s="444"/>
      <c r="L1038" s="444"/>
      <c r="M1038" s="444"/>
      <c r="N1038" s="444"/>
      <c r="O1038" s="444"/>
      <c r="P1038" s="444"/>
      <c r="Q1038" s="444"/>
    </row>
    <row r="1039" spans="6:17">
      <c r="F1039" s="453"/>
      <c r="G1039" s="444"/>
      <c r="H1039" s="444"/>
      <c r="I1039" s="444"/>
      <c r="J1039" s="444"/>
      <c r="K1039" s="444"/>
      <c r="L1039" s="444"/>
      <c r="M1039" s="444"/>
      <c r="N1039" s="444"/>
      <c r="O1039" s="444"/>
      <c r="P1039" s="444"/>
      <c r="Q1039" s="444"/>
    </row>
    <row r="1040" spans="6:17">
      <c r="F1040" s="453"/>
      <c r="G1040" s="444"/>
      <c r="H1040" s="444"/>
      <c r="I1040" s="444"/>
      <c r="J1040" s="444"/>
      <c r="K1040" s="444"/>
      <c r="L1040" s="444"/>
      <c r="M1040" s="444"/>
      <c r="N1040" s="444"/>
      <c r="O1040" s="444"/>
      <c r="P1040" s="444"/>
      <c r="Q1040" s="444"/>
    </row>
    <row r="1041" spans="6:17">
      <c r="F1041" s="453"/>
      <c r="G1041" s="444"/>
      <c r="H1041" s="444"/>
      <c r="I1041" s="444"/>
      <c r="J1041" s="444"/>
      <c r="K1041" s="444"/>
      <c r="L1041" s="444"/>
      <c r="M1041" s="444"/>
      <c r="N1041" s="444"/>
      <c r="O1041" s="444"/>
      <c r="P1041" s="444"/>
      <c r="Q1041" s="444"/>
    </row>
    <row r="1042" spans="6:17">
      <c r="F1042" s="453"/>
      <c r="G1042" s="444"/>
      <c r="H1042" s="444"/>
      <c r="I1042" s="444"/>
      <c r="J1042" s="444"/>
      <c r="K1042" s="444"/>
      <c r="L1042" s="444"/>
      <c r="M1042" s="444"/>
      <c r="N1042" s="444"/>
      <c r="O1042" s="444"/>
      <c r="P1042" s="444"/>
      <c r="Q1042" s="444"/>
    </row>
    <row r="1043" spans="6:17">
      <c r="F1043" s="453"/>
      <c r="G1043" s="444"/>
      <c r="H1043" s="444"/>
      <c r="I1043" s="444"/>
      <c r="J1043" s="444"/>
      <c r="K1043" s="444"/>
      <c r="L1043" s="444"/>
      <c r="M1043" s="444"/>
      <c r="N1043" s="444"/>
      <c r="O1043" s="444"/>
      <c r="P1043" s="444"/>
      <c r="Q1043" s="444"/>
    </row>
    <row r="1044" spans="6:17">
      <c r="F1044" s="453"/>
      <c r="G1044" s="444"/>
      <c r="H1044" s="444"/>
      <c r="I1044" s="444"/>
      <c r="J1044" s="444"/>
      <c r="K1044" s="444"/>
      <c r="L1044" s="444"/>
      <c r="M1044" s="444"/>
      <c r="N1044" s="444"/>
      <c r="O1044" s="444"/>
      <c r="P1044" s="444"/>
      <c r="Q1044" s="444"/>
    </row>
    <row r="1045" spans="6:17">
      <c r="F1045" s="453"/>
      <c r="G1045" s="444"/>
      <c r="H1045" s="444"/>
      <c r="I1045" s="444"/>
      <c r="J1045" s="444"/>
      <c r="K1045" s="444"/>
      <c r="L1045" s="444"/>
      <c r="M1045" s="444"/>
      <c r="N1045" s="444"/>
      <c r="O1045" s="444"/>
      <c r="P1045" s="444"/>
      <c r="Q1045" s="444"/>
    </row>
    <row r="1046" spans="6:17">
      <c r="F1046" s="453"/>
      <c r="G1046" s="444"/>
      <c r="H1046" s="444"/>
      <c r="I1046" s="444"/>
      <c r="J1046" s="444"/>
      <c r="K1046" s="444"/>
      <c r="L1046" s="444"/>
      <c r="M1046" s="444"/>
      <c r="N1046" s="444"/>
      <c r="O1046" s="444"/>
      <c r="P1046" s="444"/>
      <c r="Q1046" s="444"/>
    </row>
    <row r="1047" spans="6:17">
      <c r="F1047" s="453"/>
      <c r="G1047" s="444"/>
      <c r="H1047" s="444"/>
      <c r="I1047" s="444"/>
      <c r="J1047" s="444"/>
      <c r="K1047" s="444"/>
      <c r="L1047" s="444"/>
      <c r="M1047" s="444"/>
      <c r="N1047" s="444"/>
      <c r="O1047" s="444"/>
      <c r="P1047" s="444"/>
      <c r="Q1047" s="444"/>
    </row>
    <row r="1048" spans="6:17">
      <c r="F1048" s="453"/>
      <c r="G1048" s="444"/>
      <c r="H1048" s="444"/>
      <c r="I1048" s="444"/>
      <c r="J1048" s="444"/>
      <c r="K1048" s="444"/>
      <c r="L1048" s="444"/>
      <c r="M1048" s="444"/>
      <c r="N1048" s="444"/>
      <c r="O1048" s="444"/>
      <c r="P1048" s="444"/>
      <c r="Q1048" s="444"/>
    </row>
    <row r="1049" spans="6:17">
      <c r="F1049" s="453"/>
      <c r="G1049" s="444"/>
      <c r="H1049" s="444"/>
      <c r="I1049" s="444"/>
      <c r="J1049" s="444"/>
      <c r="K1049" s="444"/>
      <c r="L1049" s="444"/>
      <c r="M1049" s="444"/>
      <c r="N1049" s="444"/>
      <c r="O1049" s="444"/>
      <c r="P1049" s="444"/>
      <c r="Q1049" s="444"/>
    </row>
    <row r="1050" spans="6:17">
      <c r="F1050" s="453"/>
      <c r="G1050" s="444"/>
      <c r="H1050" s="444"/>
      <c r="I1050" s="444"/>
      <c r="J1050" s="444"/>
      <c r="K1050" s="444"/>
      <c r="L1050" s="444"/>
      <c r="M1050" s="444"/>
      <c r="N1050" s="444"/>
      <c r="O1050" s="444"/>
      <c r="P1050" s="444"/>
      <c r="Q1050" s="444"/>
    </row>
    <row r="1051" spans="6:17">
      <c r="F1051" s="453"/>
      <c r="G1051" s="444"/>
      <c r="H1051" s="444"/>
      <c r="I1051" s="444"/>
      <c r="J1051" s="444"/>
      <c r="K1051" s="444"/>
      <c r="L1051" s="444"/>
      <c r="M1051" s="444"/>
      <c r="N1051" s="444"/>
      <c r="O1051" s="444"/>
      <c r="P1051" s="444"/>
      <c r="Q1051" s="444"/>
    </row>
    <row r="1052" spans="6:17">
      <c r="F1052" s="453"/>
      <c r="G1052" s="444"/>
      <c r="H1052" s="444"/>
      <c r="I1052" s="444"/>
      <c r="J1052" s="444"/>
      <c r="K1052" s="444"/>
      <c r="L1052" s="444"/>
      <c r="M1052" s="444"/>
      <c r="N1052" s="444"/>
      <c r="O1052" s="444"/>
      <c r="P1052" s="444"/>
      <c r="Q1052" s="444"/>
    </row>
    <row r="1053" spans="6:17">
      <c r="F1053" s="453"/>
      <c r="G1053" s="444"/>
      <c r="H1053" s="444"/>
      <c r="I1053" s="444"/>
      <c r="J1053" s="444"/>
      <c r="K1053" s="444"/>
      <c r="L1053" s="444"/>
      <c r="M1053" s="444"/>
      <c r="N1053" s="444"/>
      <c r="O1053" s="444"/>
      <c r="P1053" s="444"/>
      <c r="Q1053" s="444"/>
    </row>
    <row r="1054" spans="6:17">
      <c r="F1054" s="453"/>
      <c r="G1054" s="444"/>
      <c r="H1054" s="444"/>
      <c r="I1054" s="444"/>
      <c r="J1054" s="444"/>
      <c r="K1054" s="444"/>
      <c r="L1054" s="444"/>
      <c r="M1054" s="444"/>
      <c r="N1054" s="444"/>
      <c r="O1054" s="444"/>
      <c r="P1054" s="444"/>
      <c r="Q1054" s="444"/>
    </row>
    <row r="1055" spans="6:17">
      <c r="F1055" s="453"/>
      <c r="G1055" s="444"/>
      <c r="H1055" s="444"/>
      <c r="I1055" s="444"/>
      <c r="J1055" s="444"/>
      <c r="K1055" s="444"/>
      <c r="L1055" s="444"/>
      <c r="M1055" s="444"/>
      <c r="N1055" s="444"/>
      <c r="O1055" s="444"/>
      <c r="P1055" s="444"/>
      <c r="Q1055" s="444"/>
    </row>
    <row r="1056" spans="6:17">
      <c r="F1056" s="453"/>
      <c r="G1056" s="444"/>
      <c r="H1056" s="444"/>
      <c r="I1056" s="444"/>
      <c r="J1056" s="444"/>
      <c r="K1056" s="444"/>
      <c r="L1056" s="444"/>
      <c r="M1056" s="444"/>
      <c r="N1056" s="444"/>
      <c r="O1056" s="444"/>
      <c r="P1056" s="444"/>
      <c r="Q1056" s="444"/>
    </row>
    <row r="1057" spans="6:17">
      <c r="F1057" s="453"/>
      <c r="G1057" s="444"/>
      <c r="H1057" s="444"/>
      <c r="I1057" s="444"/>
      <c r="J1057" s="444"/>
      <c r="K1057" s="444"/>
      <c r="L1057" s="444"/>
      <c r="M1057" s="444"/>
      <c r="N1057" s="444"/>
      <c r="O1057" s="444"/>
      <c r="P1057" s="444"/>
      <c r="Q1057" s="444"/>
    </row>
    <row r="1058" spans="6:17">
      <c r="F1058" s="453"/>
      <c r="G1058" s="444"/>
      <c r="H1058" s="444"/>
      <c r="I1058" s="444"/>
      <c r="J1058" s="444"/>
      <c r="K1058" s="444"/>
      <c r="L1058" s="444"/>
      <c r="M1058" s="444"/>
      <c r="N1058" s="444"/>
      <c r="O1058" s="444"/>
      <c r="P1058" s="444"/>
      <c r="Q1058" s="444"/>
    </row>
    <row r="1059" spans="6:17">
      <c r="F1059" s="453"/>
      <c r="G1059" s="444"/>
      <c r="H1059" s="444"/>
      <c r="I1059" s="444"/>
      <c r="J1059" s="444"/>
      <c r="K1059" s="444"/>
      <c r="L1059" s="444"/>
      <c r="M1059" s="444"/>
      <c r="N1059" s="444"/>
      <c r="O1059" s="444"/>
      <c r="P1059" s="444"/>
      <c r="Q1059" s="444"/>
    </row>
    <row r="1060" spans="6:17">
      <c r="F1060" s="453"/>
      <c r="G1060" s="444"/>
      <c r="H1060" s="444"/>
      <c r="I1060" s="444"/>
      <c r="J1060" s="444"/>
      <c r="K1060" s="444"/>
      <c r="L1060" s="444"/>
      <c r="M1060" s="444"/>
      <c r="N1060" s="444"/>
      <c r="O1060" s="444"/>
      <c r="P1060" s="444"/>
      <c r="Q1060" s="444"/>
    </row>
    <row r="1061" spans="6:17">
      <c r="F1061" s="453"/>
      <c r="G1061" s="444"/>
      <c r="H1061" s="444"/>
      <c r="I1061" s="444"/>
      <c r="J1061" s="444"/>
      <c r="K1061" s="444"/>
      <c r="L1061" s="444"/>
      <c r="M1061" s="444"/>
      <c r="N1061" s="444"/>
      <c r="O1061" s="444"/>
      <c r="P1061" s="444"/>
      <c r="Q1061" s="444"/>
    </row>
    <row r="1062" spans="6:17">
      <c r="F1062" s="453"/>
      <c r="G1062" s="444"/>
      <c r="H1062" s="444"/>
      <c r="I1062" s="444"/>
      <c r="J1062" s="444"/>
      <c r="K1062" s="444"/>
      <c r="L1062" s="444"/>
      <c r="M1062" s="444"/>
      <c r="N1062" s="444"/>
      <c r="O1062" s="444"/>
      <c r="P1062" s="444"/>
      <c r="Q1062" s="444"/>
    </row>
    <row r="1063" spans="6:17">
      <c r="F1063" s="453"/>
      <c r="G1063" s="444"/>
      <c r="H1063" s="444"/>
      <c r="I1063" s="444"/>
      <c r="J1063" s="444"/>
      <c r="K1063" s="444"/>
      <c r="L1063" s="444"/>
      <c r="M1063" s="444"/>
      <c r="N1063" s="444"/>
      <c r="O1063" s="444"/>
      <c r="P1063" s="444"/>
      <c r="Q1063" s="444"/>
    </row>
    <row r="1064" spans="6:17">
      <c r="F1064" s="453"/>
      <c r="G1064" s="444"/>
      <c r="H1064" s="444"/>
      <c r="I1064" s="444"/>
      <c r="J1064" s="444"/>
      <c r="K1064" s="444"/>
      <c r="L1064" s="444"/>
      <c r="M1064" s="444"/>
      <c r="N1064" s="444"/>
      <c r="O1064" s="444"/>
      <c r="P1064" s="444"/>
      <c r="Q1064" s="444"/>
    </row>
    <row r="1065" spans="6:17">
      <c r="F1065" s="453"/>
      <c r="G1065" s="444"/>
      <c r="H1065" s="444"/>
      <c r="I1065" s="444"/>
      <c r="J1065" s="444"/>
      <c r="K1065" s="444"/>
      <c r="L1065" s="444"/>
      <c r="M1065" s="444"/>
      <c r="N1065" s="444"/>
      <c r="O1065" s="444"/>
      <c r="P1065" s="444"/>
      <c r="Q1065" s="444"/>
    </row>
    <row r="1066" spans="6:17">
      <c r="F1066" s="453"/>
      <c r="G1066" s="444"/>
      <c r="H1066" s="444"/>
      <c r="I1066" s="444"/>
      <c r="J1066" s="444"/>
      <c r="K1066" s="444"/>
      <c r="L1066" s="444"/>
      <c r="M1066" s="444"/>
      <c r="N1066" s="444"/>
      <c r="O1066" s="444"/>
      <c r="P1066" s="444"/>
      <c r="Q1066" s="444"/>
    </row>
    <row r="1067" spans="6:17">
      <c r="F1067" s="453"/>
      <c r="G1067" s="444"/>
      <c r="H1067" s="444"/>
      <c r="I1067" s="444"/>
      <c r="J1067" s="444"/>
      <c r="K1067" s="444"/>
      <c r="L1067" s="444"/>
      <c r="M1067" s="444"/>
      <c r="N1067" s="444"/>
      <c r="O1067" s="444"/>
      <c r="P1067" s="444"/>
      <c r="Q1067" s="444"/>
    </row>
    <row r="1068" spans="6:17">
      <c r="F1068" s="453"/>
      <c r="G1068" s="444"/>
      <c r="H1068" s="444"/>
      <c r="I1068" s="444"/>
      <c r="J1068" s="444"/>
      <c r="K1068" s="444"/>
      <c r="L1068" s="444"/>
      <c r="M1068" s="444"/>
      <c r="N1068" s="444"/>
      <c r="O1068" s="444"/>
      <c r="P1068" s="444"/>
      <c r="Q1068" s="444"/>
    </row>
    <row r="1069" spans="6:17">
      <c r="F1069" s="453"/>
      <c r="G1069" s="444"/>
      <c r="H1069" s="444"/>
      <c r="I1069" s="444"/>
      <c r="J1069" s="444"/>
      <c r="K1069" s="444"/>
      <c r="L1069" s="444"/>
      <c r="M1069" s="444"/>
      <c r="N1069" s="444"/>
      <c r="O1069" s="444"/>
      <c r="P1069" s="444"/>
      <c r="Q1069" s="444"/>
    </row>
    <row r="1070" spans="6:17">
      <c r="F1070" s="453"/>
      <c r="G1070" s="444"/>
      <c r="H1070" s="444"/>
      <c r="I1070" s="444"/>
      <c r="J1070" s="444"/>
      <c r="K1070" s="444"/>
      <c r="L1070" s="444"/>
      <c r="M1070" s="444"/>
      <c r="N1070" s="444"/>
      <c r="O1070" s="444"/>
      <c r="P1070" s="444"/>
      <c r="Q1070" s="444"/>
    </row>
    <row r="1071" spans="6:17">
      <c r="F1071" s="453"/>
      <c r="G1071" s="444"/>
      <c r="H1071" s="444"/>
      <c r="I1071" s="444"/>
      <c r="J1071" s="444"/>
      <c r="K1071" s="444"/>
      <c r="L1071" s="444"/>
      <c r="M1071" s="444"/>
      <c r="N1071" s="444"/>
      <c r="O1071" s="444"/>
      <c r="P1071" s="444"/>
      <c r="Q1071" s="444"/>
    </row>
    <row r="1072" spans="6:17">
      <c r="F1072" s="453"/>
      <c r="G1072" s="444"/>
      <c r="H1072" s="444"/>
      <c r="I1072" s="444"/>
      <c r="J1072" s="444"/>
      <c r="K1072" s="444"/>
      <c r="L1072" s="444"/>
      <c r="M1072" s="444"/>
      <c r="N1072" s="444"/>
      <c r="O1072" s="444"/>
      <c r="P1072" s="444"/>
      <c r="Q1072" s="444"/>
    </row>
    <row r="1073" spans="6:17">
      <c r="F1073" s="453"/>
      <c r="G1073" s="444"/>
      <c r="H1073" s="444"/>
      <c r="I1073" s="444"/>
      <c r="J1073" s="444"/>
      <c r="K1073" s="444"/>
      <c r="L1073" s="444"/>
      <c r="M1073" s="444"/>
      <c r="N1073" s="444"/>
      <c r="O1073" s="444"/>
      <c r="P1073" s="444"/>
      <c r="Q1073" s="444"/>
    </row>
    <row r="1074" spans="6:17">
      <c r="F1074" s="453"/>
      <c r="G1074" s="444"/>
      <c r="H1074" s="444"/>
      <c r="I1074" s="444"/>
      <c r="J1074" s="444"/>
      <c r="K1074" s="444"/>
      <c r="L1074" s="444"/>
      <c r="M1074" s="444"/>
      <c r="N1074" s="444"/>
      <c r="O1074" s="444"/>
      <c r="P1074" s="444"/>
      <c r="Q1074" s="444"/>
    </row>
    <row r="1075" spans="6:17">
      <c r="F1075" s="453"/>
      <c r="G1075" s="444"/>
      <c r="H1075" s="444"/>
      <c r="I1075" s="444"/>
      <c r="J1075" s="444"/>
      <c r="K1075" s="444"/>
      <c r="L1075" s="444"/>
      <c r="M1075" s="444"/>
      <c r="N1075" s="444"/>
      <c r="O1075" s="444"/>
      <c r="P1075" s="444"/>
      <c r="Q1075" s="444"/>
    </row>
    <row r="1076" spans="6:17">
      <c r="F1076" s="453"/>
      <c r="G1076" s="444"/>
      <c r="H1076" s="444"/>
      <c r="I1076" s="444"/>
      <c r="J1076" s="444"/>
      <c r="K1076" s="444"/>
      <c r="L1076" s="444"/>
      <c r="M1076" s="444"/>
      <c r="N1076" s="444"/>
      <c r="O1076" s="444"/>
      <c r="P1076" s="444"/>
      <c r="Q1076" s="444"/>
    </row>
    <row r="1077" spans="6:17">
      <c r="F1077" s="453"/>
      <c r="G1077" s="444"/>
      <c r="H1077" s="444"/>
      <c r="I1077" s="444"/>
      <c r="J1077" s="444"/>
      <c r="K1077" s="444"/>
      <c r="L1077" s="444"/>
      <c r="M1077" s="444"/>
      <c r="N1077" s="444"/>
      <c r="O1077" s="444"/>
      <c r="P1077" s="444"/>
      <c r="Q1077" s="444"/>
    </row>
    <row r="1078" spans="6:17">
      <c r="F1078" s="453"/>
      <c r="G1078" s="444"/>
      <c r="H1078" s="444"/>
      <c r="I1078" s="444"/>
      <c r="J1078" s="444"/>
      <c r="K1078" s="444"/>
      <c r="L1078" s="444"/>
      <c r="M1078" s="444"/>
      <c r="N1078" s="444"/>
      <c r="O1078" s="444"/>
      <c r="P1078" s="444"/>
      <c r="Q1078" s="444"/>
    </row>
    <row r="1079" spans="6:17">
      <c r="F1079" s="453"/>
      <c r="G1079" s="444"/>
      <c r="H1079" s="444"/>
      <c r="I1079" s="444"/>
      <c r="J1079" s="444"/>
      <c r="K1079" s="444"/>
      <c r="L1079" s="444"/>
      <c r="M1079" s="444"/>
      <c r="N1079" s="444"/>
      <c r="O1079" s="444"/>
      <c r="P1079" s="444"/>
      <c r="Q1079" s="444"/>
    </row>
    <row r="1080" spans="6:17">
      <c r="F1080" s="453"/>
      <c r="G1080" s="444"/>
      <c r="H1080" s="444"/>
      <c r="I1080" s="444"/>
      <c r="J1080" s="444"/>
      <c r="K1080" s="444"/>
      <c r="L1080" s="444"/>
      <c r="M1080" s="444"/>
      <c r="N1080" s="444"/>
      <c r="O1080" s="444"/>
      <c r="P1080" s="444"/>
      <c r="Q1080" s="444"/>
    </row>
    <row r="1081" spans="6:17">
      <c r="F1081" s="453"/>
      <c r="G1081" s="444"/>
      <c r="H1081" s="444"/>
      <c r="I1081" s="444"/>
      <c r="J1081" s="444"/>
      <c r="K1081" s="444"/>
      <c r="L1081" s="444"/>
      <c r="M1081" s="444"/>
      <c r="N1081" s="444"/>
      <c r="O1081" s="444"/>
      <c r="P1081" s="444"/>
      <c r="Q1081" s="444"/>
    </row>
    <row r="1082" spans="6:17">
      <c r="F1082" s="453"/>
      <c r="G1082" s="444"/>
      <c r="H1082" s="444"/>
      <c r="I1082" s="444"/>
      <c r="J1082" s="444"/>
      <c r="K1082" s="444"/>
      <c r="L1082" s="444"/>
      <c r="M1082" s="444"/>
      <c r="N1082" s="444"/>
      <c r="O1082" s="444"/>
      <c r="P1082" s="444"/>
      <c r="Q1082" s="444"/>
    </row>
    <row r="1083" spans="6:17">
      <c r="F1083" s="453"/>
      <c r="G1083" s="444"/>
      <c r="H1083" s="444"/>
      <c r="I1083" s="444"/>
      <c r="J1083" s="444"/>
      <c r="K1083" s="444"/>
      <c r="L1083" s="444"/>
      <c r="M1083" s="444"/>
      <c r="N1083" s="444"/>
      <c r="O1083" s="444"/>
      <c r="P1083" s="444"/>
      <c r="Q1083" s="444"/>
    </row>
    <row r="1084" spans="6:17">
      <c r="F1084" s="453"/>
      <c r="G1084" s="444"/>
      <c r="H1084" s="444"/>
      <c r="I1084" s="444"/>
      <c r="J1084" s="444"/>
      <c r="K1084" s="444"/>
      <c r="L1084" s="444"/>
      <c r="M1084" s="444"/>
      <c r="N1084" s="444"/>
      <c r="O1084" s="444"/>
      <c r="P1084" s="444"/>
      <c r="Q1084" s="444"/>
    </row>
    <row r="1085" spans="6:17">
      <c r="F1085" s="453"/>
      <c r="G1085" s="444"/>
      <c r="H1085" s="444"/>
      <c r="I1085" s="444"/>
      <c r="J1085" s="444"/>
      <c r="K1085" s="444"/>
      <c r="L1085" s="444"/>
      <c r="M1085" s="444"/>
      <c r="N1085" s="444"/>
      <c r="O1085" s="444"/>
      <c r="P1085" s="444"/>
      <c r="Q1085" s="444"/>
    </row>
    <row r="1086" spans="6:17">
      <c r="F1086" s="453"/>
      <c r="G1086" s="444"/>
      <c r="H1086" s="444"/>
      <c r="I1086" s="444"/>
      <c r="J1086" s="444"/>
      <c r="K1086" s="444"/>
      <c r="L1086" s="444"/>
      <c r="M1086" s="444"/>
      <c r="N1086" s="444"/>
      <c r="O1086" s="444"/>
      <c r="P1086" s="444"/>
      <c r="Q1086" s="444"/>
    </row>
    <row r="1087" spans="6:17">
      <c r="F1087" s="453"/>
      <c r="G1087" s="444"/>
      <c r="H1087" s="444"/>
      <c r="I1087" s="444"/>
      <c r="J1087" s="444"/>
      <c r="K1087" s="444"/>
      <c r="L1087" s="444"/>
      <c r="M1087" s="444"/>
      <c r="N1087" s="444"/>
      <c r="O1087" s="444"/>
      <c r="P1087" s="444"/>
      <c r="Q1087" s="444"/>
    </row>
    <row r="1088" spans="6:17">
      <c r="F1088" s="453"/>
      <c r="G1088" s="444"/>
      <c r="H1088" s="444"/>
      <c r="I1088" s="444"/>
      <c r="J1088" s="444"/>
      <c r="K1088" s="444"/>
      <c r="L1088" s="444"/>
      <c r="M1088" s="444"/>
      <c r="N1088" s="444"/>
      <c r="O1088" s="444"/>
      <c r="P1088" s="444"/>
      <c r="Q1088" s="444"/>
    </row>
    <row r="1089" spans="6:17">
      <c r="F1089" s="453"/>
      <c r="G1089" s="444"/>
      <c r="H1089" s="444"/>
      <c r="I1089" s="444"/>
      <c r="J1089" s="444"/>
      <c r="K1089" s="444"/>
      <c r="L1089" s="444"/>
      <c r="M1089" s="444"/>
      <c r="N1089" s="444"/>
      <c r="O1089" s="444"/>
      <c r="P1089" s="444"/>
      <c r="Q1089" s="444"/>
    </row>
    <row r="1090" spans="6:17">
      <c r="F1090" s="453"/>
      <c r="G1090" s="444"/>
      <c r="H1090" s="444"/>
      <c r="I1090" s="444"/>
      <c r="J1090" s="444"/>
      <c r="K1090" s="444"/>
      <c r="L1090" s="444"/>
      <c r="M1090" s="444"/>
      <c r="N1090" s="444"/>
      <c r="O1090" s="444"/>
      <c r="P1090" s="444"/>
      <c r="Q1090" s="444"/>
    </row>
    <row r="1091" spans="6:17">
      <c r="F1091" s="453"/>
      <c r="G1091" s="444"/>
      <c r="H1091" s="444"/>
      <c r="I1091" s="444"/>
      <c r="J1091" s="444"/>
      <c r="K1091" s="444"/>
      <c r="L1091" s="444"/>
      <c r="M1091" s="444"/>
      <c r="N1091" s="444"/>
      <c r="O1091" s="444"/>
      <c r="P1091" s="444"/>
      <c r="Q1091" s="444"/>
    </row>
    <row r="1092" spans="6:17">
      <c r="F1092" s="453"/>
      <c r="G1092" s="444"/>
      <c r="H1092" s="444"/>
      <c r="I1092" s="444"/>
      <c r="J1092" s="444"/>
      <c r="K1092" s="444"/>
      <c r="L1092" s="444"/>
      <c r="M1092" s="444"/>
      <c r="N1092" s="444"/>
      <c r="O1092" s="444"/>
      <c r="P1092" s="444"/>
      <c r="Q1092" s="444"/>
    </row>
    <row r="1093" spans="6:17">
      <c r="F1093" s="453"/>
      <c r="G1093" s="444"/>
      <c r="H1093" s="444"/>
      <c r="I1093" s="444"/>
      <c r="J1093" s="444"/>
      <c r="K1093" s="444"/>
      <c r="L1093" s="444"/>
      <c r="M1093" s="444"/>
      <c r="N1093" s="444"/>
      <c r="O1093" s="444"/>
      <c r="P1093" s="444"/>
      <c r="Q1093" s="444"/>
    </row>
    <row r="1094" spans="6:17">
      <c r="F1094" s="453"/>
      <c r="G1094" s="444"/>
      <c r="H1094" s="444"/>
      <c r="I1094" s="444"/>
      <c r="J1094" s="444"/>
      <c r="K1094" s="444"/>
      <c r="L1094" s="444"/>
      <c r="M1094" s="444"/>
      <c r="N1094" s="444"/>
      <c r="O1094" s="444"/>
      <c r="P1094" s="444"/>
      <c r="Q1094" s="444"/>
    </row>
    <row r="1095" spans="6:17">
      <c r="F1095" s="453"/>
      <c r="G1095" s="444"/>
      <c r="H1095" s="444"/>
      <c r="I1095" s="444"/>
      <c r="J1095" s="444"/>
      <c r="K1095" s="444"/>
      <c r="L1095" s="444"/>
      <c r="M1095" s="444"/>
      <c r="N1095" s="444"/>
      <c r="O1095" s="444"/>
      <c r="P1095" s="444"/>
      <c r="Q1095" s="444"/>
    </row>
    <row r="1096" spans="6:17">
      <c r="F1096" s="453"/>
      <c r="G1096" s="444"/>
      <c r="H1096" s="444"/>
      <c r="I1096" s="444"/>
      <c r="J1096" s="444"/>
      <c r="K1096" s="444"/>
      <c r="L1096" s="444"/>
      <c r="M1096" s="444"/>
      <c r="N1096" s="444"/>
      <c r="O1096" s="444"/>
      <c r="P1096" s="444"/>
      <c r="Q1096" s="444"/>
    </row>
    <row r="1097" spans="6:17">
      <c r="F1097" s="453"/>
      <c r="G1097" s="444"/>
      <c r="H1097" s="444"/>
      <c r="I1097" s="444"/>
      <c r="J1097" s="444"/>
      <c r="K1097" s="444"/>
      <c r="L1097" s="444"/>
      <c r="M1097" s="444"/>
      <c r="N1097" s="444"/>
      <c r="O1097" s="444"/>
      <c r="P1097" s="444"/>
      <c r="Q1097" s="444"/>
    </row>
    <row r="1098" spans="6:17">
      <c r="F1098" s="453"/>
      <c r="G1098" s="444"/>
      <c r="H1098" s="444"/>
      <c r="I1098" s="444"/>
      <c r="J1098" s="444"/>
      <c r="K1098" s="444"/>
      <c r="L1098" s="444"/>
      <c r="M1098" s="444"/>
      <c r="N1098" s="444"/>
      <c r="O1098" s="444"/>
      <c r="P1098" s="444"/>
      <c r="Q1098" s="444"/>
    </row>
    <row r="1099" spans="6:17">
      <c r="F1099" s="453"/>
      <c r="G1099" s="444"/>
      <c r="H1099" s="444"/>
      <c r="I1099" s="444"/>
      <c r="J1099" s="444"/>
      <c r="K1099" s="444"/>
      <c r="L1099" s="444"/>
      <c r="M1099" s="444"/>
      <c r="N1099" s="444"/>
      <c r="O1099" s="444"/>
      <c r="P1099" s="444"/>
      <c r="Q1099" s="444"/>
    </row>
    <row r="1100" spans="6:17">
      <c r="F1100" s="453"/>
      <c r="G1100" s="444"/>
      <c r="H1100" s="444"/>
      <c r="I1100" s="444"/>
      <c r="J1100" s="444"/>
      <c r="K1100" s="444"/>
      <c r="L1100" s="444"/>
      <c r="M1100" s="444"/>
      <c r="N1100" s="444"/>
      <c r="O1100" s="444"/>
      <c r="P1100" s="444"/>
      <c r="Q1100" s="444"/>
    </row>
    <row r="1101" spans="6:17">
      <c r="F1101" s="453"/>
      <c r="G1101" s="444"/>
      <c r="H1101" s="444"/>
      <c r="I1101" s="444"/>
      <c r="J1101" s="444"/>
      <c r="K1101" s="444"/>
      <c r="L1101" s="444"/>
      <c r="M1101" s="444"/>
      <c r="N1101" s="444"/>
      <c r="O1101" s="444"/>
      <c r="P1101" s="444"/>
      <c r="Q1101" s="444"/>
    </row>
    <row r="1102" spans="6:17">
      <c r="F1102" s="453"/>
      <c r="G1102" s="444"/>
      <c r="H1102" s="444"/>
      <c r="I1102" s="444"/>
      <c r="J1102" s="444"/>
      <c r="K1102" s="444"/>
      <c r="L1102" s="444"/>
      <c r="M1102" s="444"/>
      <c r="N1102" s="444"/>
      <c r="O1102" s="444"/>
      <c r="P1102" s="444"/>
      <c r="Q1102" s="444"/>
    </row>
    <row r="1103" spans="6:17">
      <c r="F1103" s="453"/>
      <c r="G1103" s="444"/>
      <c r="H1103" s="444"/>
      <c r="I1103" s="444"/>
      <c r="J1103" s="444"/>
      <c r="K1103" s="444"/>
      <c r="L1103" s="444"/>
      <c r="M1103" s="444"/>
      <c r="N1103" s="444"/>
      <c r="O1103" s="444"/>
      <c r="P1103" s="444"/>
      <c r="Q1103" s="444"/>
    </row>
    <row r="1104" spans="6:17">
      <c r="F1104" s="453"/>
      <c r="G1104" s="444"/>
      <c r="H1104" s="444"/>
      <c r="I1104" s="444"/>
      <c r="J1104" s="444"/>
      <c r="K1104" s="444"/>
      <c r="L1104" s="444"/>
      <c r="M1104" s="444"/>
      <c r="N1104" s="444"/>
      <c r="O1104" s="444"/>
      <c r="P1104" s="444"/>
      <c r="Q1104" s="444"/>
    </row>
    <row r="1105" spans="6:17">
      <c r="F1105" s="453"/>
      <c r="G1105" s="444"/>
      <c r="H1105" s="444"/>
      <c r="I1105" s="444"/>
      <c r="J1105" s="444"/>
      <c r="K1105" s="444"/>
      <c r="L1105" s="444"/>
      <c r="M1105" s="444"/>
      <c r="N1105" s="444"/>
      <c r="O1105" s="444"/>
      <c r="P1105" s="444"/>
      <c r="Q1105" s="444"/>
    </row>
    <row r="1106" spans="6:17">
      <c r="F1106" s="453"/>
      <c r="G1106" s="444"/>
      <c r="H1106" s="444"/>
      <c r="I1106" s="444"/>
      <c r="J1106" s="444"/>
      <c r="K1106" s="444"/>
      <c r="L1106" s="444"/>
      <c r="M1106" s="444"/>
      <c r="N1106" s="444"/>
      <c r="O1106" s="444"/>
      <c r="P1106" s="444"/>
      <c r="Q1106" s="444"/>
    </row>
    <row r="1107" spans="6:17">
      <c r="F1107" s="453"/>
      <c r="G1107" s="444"/>
      <c r="H1107" s="444"/>
      <c r="I1107" s="444"/>
      <c r="J1107" s="444"/>
      <c r="K1107" s="444"/>
      <c r="L1107" s="444"/>
      <c r="M1107" s="444"/>
      <c r="N1107" s="444"/>
      <c r="O1107" s="444"/>
      <c r="P1107" s="444"/>
      <c r="Q1107" s="444"/>
    </row>
    <row r="1108" spans="6:17">
      <c r="F1108" s="453"/>
      <c r="G1108" s="444"/>
      <c r="H1108" s="444"/>
      <c r="I1108" s="444"/>
      <c r="J1108" s="444"/>
      <c r="K1108" s="444"/>
      <c r="L1108" s="444"/>
      <c r="M1108" s="444"/>
      <c r="N1108" s="444"/>
      <c r="O1108" s="444"/>
      <c r="P1108" s="444"/>
      <c r="Q1108" s="444"/>
    </row>
    <row r="1109" spans="6:17">
      <c r="F1109" s="453"/>
      <c r="G1109" s="444"/>
      <c r="H1109" s="444"/>
      <c r="I1109" s="444"/>
      <c r="J1109" s="444"/>
      <c r="K1109" s="444"/>
      <c r="L1109" s="444"/>
      <c r="M1109" s="444"/>
      <c r="N1109" s="444"/>
      <c r="O1109" s="444"/>
      <c r="P1109" s="444"/>
      <c r="Q1109" s="444"/>
    </row>
    <row r="1110" spans="6:17">
      <c r="F1110" s="453"/>
      <c r="G1110" s="444"/>
      <c r="H1110" s="444"/>
      <c r="I1110" s="444"/>
      <c r="J1110" s="444"/>
      <c r="K1110" s="444"/>
      <c r="L1110" s="444"/>
      <c r="M1110" s="444"/>
      <c r="N1110" s="444"/>
      <c r="O1110" s="444"/>
      <c r="P1110" s="444"/>
      <c r="Q1110" s="444"/>
    </row>
    <row r="1111" spans="6:17">
      <c r="F1111" s="453"/>
      <c r="G1111" s="444"/>
      <c r="H1111" s="444"/>
      <c r="I1111" s="444"/>
      <c r="J1111" s="444"/>
      <c r="K1111" s="444"/>
      <c r="L1111" s="444"/>
      <c r="M1111" s="444"/>
      <c r="N1111" s="444"/>
      <c r="O1111" s="444"/>
      <c r="P1111" s="444"/>
      <c r="Q1111" s="444"/>
    </row>
    <row r="1112" spans="6:17">
      <c r="F1112" s="453"/>
      <c r="G1112" s="444"/>
      <c r="H1112" s="444"/>
      <c r="I1112" s="444"/>
      <c r="J1112" s="444"/>
      <c r="K1112" s="444"/>
      <c r="L1112" s="444"/>
      <c r="M1112" s="444"/>
      <c r="N1112" s="444"/>
      <c r="O1112" s="444"/>
      <c r="P1112" s="444"/>
      <c r="Q1112" s="444"/>
    </row>
    <row r="1113" spans="6:17">
      <c r="F1113" s="453"/>
      <c r="G1113" s="444"/>
      <c r="H1113" s="444"/>
      <c r="I1113" s="444"/>
      <c r="J1113" s="444"/>
      <c r="K1113" s="444"/>
      <c r="L1113" s="444"/>
      <c r="M1113" s="444"/>
      <c r="N1113" s="444"/>
      <c r="O1113" s="444"/>
      <c r="P1113" s="444"/>
      <c r="Q1113" s="444"/>
    </row>
    <row r="1114" spans="6:17">
      <c r="F1114" s="453"/>
      <c r="G1114" s="444"/>
      <c r="H1114" s="444"/>
      <c r="I1114" s="444"/>
      <c r="J1114" s="444"/>
      <c r="K1114" s="444"/>
      <c r="L1114" s="444"/>
      <c r="M1114" s="444"/>
      <c r="N1114" s="444"/>
      <c r="O1114" s="444"/>
      <c r="P1114" s="444"/>
      <c r="Q1114" s="444"/>
    </row>
    <row r="1115" spans="6:17">
      <c r="F1115" s="453"/>
      <c r="G1115" s="444"/>
      <c r="H1115" s="444"/>
      <c r="I1115" s="444"/>
      <c r="J1115" s="444"/>
      <c r="K1115" s="444"/>
      <c r="L1115" s="444"/>
      <c r="M1115" s="444"/>
      <c r="N1115" s="444"/>
      <c r="O1115" s="444"/>
      <c r="P1115" s="444"/>
      <c r="Q1115" s="444"/>
    </row>
    <row r="1116" spans="6:17">
      <c r="F1116" s="453"/>
      <c r="G1116" s="444"/>
      <c r="H1116" s="444"/>
      <c r="I1116" s="444"/>
      <c r="J1116" s="444"/>
      <c r="K1116" s="444"/>
      <c r="L1116" s="444"/>
      <c r="M1116" s="444"/>
      <c r="N1116" s="444"/>
      <c r="O1116" s="444"/>
      <c r="P1116" s="444"/>
      <c r="Q1116" s="444"/>
    </row>
    <row r="1117" spans="6:17">
      <c r="F1117" s="453"/>
      <c r="G1117" s="444"/>
      <c r="H1117" s="444"/>
      <c r="I1117" s="444"/>
      <c r="J1117" s="444"/>
      <c r="K1117" s="444"/>
      <c r="L1117" s="444"/>
      <c r="M1117" s="444"/>
      <c r="N1117" s="444"/>
      <c r="O1117" s="444"/>
      <c r="P1117" s="444"/>
      <c r="Q1117" s="444"/>
    </row>
    <row r="1118" spans="6:17">
      <c r="F1118" s="453"/>
      <c r="G1118" s="444"/>
      <c r="H1118" s="444"/>
      <c r="I1118" s="444"/>
      <c r="J1118" s="444"/>
      <c r="K1118" s="444"/>
      <c r="L1118" s="444"/>
      <c r="M1118" s="444"/>
      <c r="N1118" s="444"/>
      <c r="O1118" s="444"/>
      <c r="P1118" s="444"/>
      <c r="Q1118" s="444"/>
    </row>
    <row r="1119" spans="6:17">
      <c r="F1119" s="453"/>
      <c r="G1119" s="444"/>
      <c r="H1119" s="444"/>
      <c r="I1119" s="444"/>
      <c r="J1119" s="444"/>
      <c r="K1119" s="444"/>
      <c r="L1119" s="444"/>
      <c r="M1119" s="444"/>
      <c r="N1119" s="444"/>
      <c r="O1119" s="444"/>
      <c r="P1119" s="444"/>
      <c r="Q1119" s="444"/>
    </row>
    <row r="1120" spans="6:17">
      <c r="F1120" s="453"/>
      <c r="G1120" s="444"/>
      <c r="H1120" s="444"/>
      <c r="I1120" s="444"/>
      <c r="J1120" s="444"/>
      <c r="K1120" s="444"/>
      <c r="L1120" s="444"/>
      <c r="M1120" s="444"/>
      <c r="N1120" s="444"/>
      <c r="O1120" s="444"/>
      <c r="P1120" s="444"/>
      <c r="Q1120" s="444"/>
    </row>
    <row r="1121" spans="6:17">
      <c r="F1121" s="453"/>
      <c r="G1121" s="444"/>
      <c r="H1121" s="444"/>
      <c r="I1121" s="444"/>
      <c r="J1121" s="444"/>
      <c r="K1121" s="444"/>
      <c r="L1121" s="444"/>
      <c r="M1121" s="444"/>
      <c r="N1121" s="444"/>
      <c r="O1121" s="444"/>
      <c r="P1121" s="444"/>
      <c r="Q1121" s="444"/>
    </row>
    <row r="1122" spans="6:17">
      <c r="F1122" s="453"/>
      <c r="G1122" s="444"/>
      <c r="H1122" s="444"/>
      <c r="I1122" s="444"/>
      <c r="J1122" s="444"/>
      <c r="K1122" s="444"/>
      <c r="L1122" s="444"/>
      <c r="M1122" s="444"/>
      <c r="N1122" s="444"/>
      <c r="O1122" s="444"/>
      <c r="P1122" s="444"/>
      <c r="Q1122" s="444"/>
    </row>
    <row r="1123" spans="6:17">
      <c r="F1123" s="453"/>
      <c r="G1123" s="444"/>
      <c r="H1123" s="444"/>
      <c r="I1123" s="444"/>
      <c r="J1123" s="444"/>
      <c r="K1123" s="444"/>
      <c r="L1123" s="444"/>
      <c r="M1123" s="444"/>
      <c r="N1123" s="444"/>
      <c r="O1123" s="444"/>
      <c r="P1123" s="444"/>
      <c r="Q1123" s="444"/>
    </row>
    <row r="1124" spans="6:17">
      <c r="F1124" s="453"/>
      <c r="G1124" s="444"/>
      <c r="H1124" s="444"/>
      <c r="I1124" s="444"/>
      <c r="J1124" s="444"/>
      <c r="K1124" s="444"/>
      <c r="L1124" s="444"/>
      <c r="M1124" s="444"/>
      <c r="N1124" s="444"/>
      <c r="O1124" s="444"/>
      <c r="P1124" s="444"/>
      <c r="Q1124" s="444"/>
    </row>
    <row r="1125" spans="6:17">
      <c r="F1125" s="453"/>
      <c r="G1125" s="444"/>
      <c r="H1125" s="444"/>
      <c r="I1125" s="444"/>
      <c r="J1125" s="444"/>
      <c r="K1125" s="444"/>
      <c r="L1125" s="444"/>
      <c r="M1125" s="444"/>
      <c r="N1125" s="444"/>
      <c r="O1125" s="444"/>
      <c r="P1125" s="444"/>
      <c r="Q1125" s="444"/>
    </row>
    <row r="1126" spans="6:17">
      <c r="F1126" s="453"/>
      <c r="G1126" s="444"/>
      <c r="H1126" s="444"/>
      <c r="I1126" s="444"/>
      <c r="J1126" s="444"/>
      <c r="K1126" s="444"/>
      <c r="L1126" s="444"/>
      <c r="M1126" s="444"/>
      <c r="N1126" s="444"/>
      <c r="O1126" s="444"/>
      <c r="P1126" s="444"/>
      <c r="Q1126" s="444"/>
    </row>
    <row r="1127" spans="6:17">
      <c r="F1127" s="453"/>
      <c r="G1127" s="444"/>
      <c r="H1127" s="444"/>
      <c r="I1127" s="444"/>
      <c r="J1127" s="444"/>
      <c r="K1127" s="444"/>
      <c r="L1127" s="444"/>
      <c r="M1127" s="444"/>
      <c r="N1127" s="444"/>
      <c r="O1127" s="444"/>
      <c r="P1127" s="444"/>
      <c r="Q1127" s="444"/>
    </row>
    <row r="1128" spans="6:17">
      <c r="F1128" s="453"/>
      <c r="G1128" s="444"/>
      <c r="H1128" s="444"/>
      <c r="I1128" s="444"/>
      <c r="J1128" s="444"/>
      <c r="K1128" s="444"/>
      <c r="L1128" s="444"/>
      <c r="M1128" s="444"/>
      <c r="N1128" s="444"/>
      <c r="O1128" s="444"/>
      <c r="P1128" s="444"/>
      <c r="Q1128" s="444"/>
    </row>
    <row r="1129" spans="6:17">
      <c r="F1129" s="453"/>
      <c r="G1129" s="444"/>
      <c r="H1129" s="444"/>
      <c r="I1129" s="444"/>
      <c r="J1129" s="444"/>
      <c r="K1129" s="444"/>
      <c r="L1129" s="444"/>
      <c r="M1129" s="444"/>
      <c r="N1129" s="444"/>
      <c r="O1129" s="444"/>
      <c r="P1129" s="444"/>
      <c r="Q1129" s="444"/>
    </row>
    <row r="1130" spans="6:17">
      <c r="F1130" s="453"/>
      <c r="G1130" s="444"/>
      <c r="H1130" s="444"/>
      <c r="I1130" s="444"/>
      <c r="J1130" s="444"/>
      <c r="K1130" s="444"/>
      <c r="L1130" s="444"/>
      <c r="M1130" s="444"/>
      <c r="N1130" s="444"/>
      <c r="O1130" s="444"/>
      <c r="P1130" s="444"/>
      <c r="Q1130" s="444"/>
    </row>
    <row r="1131" spans="6:17">
      <c r="F1131" s="453"/>
      <c r="G1131" s="444"/>
      <c r="H1131" s="444"/>
      <c r="I1131" s="444"/>
      <c r="J1131" s="444"/>
      <c r="K1131" s="444"/>
      <c r="L1131" s="444"/>
      <c r="M1131" s="444"/>
      <c r="N1131" s="444"/>
      <c r="O1131" s="444"/>
      <c r="P1131" s="444"/>
      <c r="Q1131" s="444"/>
    </row>
    <row r="1132" spans="6:17">
      <c r="F1132" s="453"/>
      <c r="G1132" s="444"/>
      <c r="H1132" s="444"/>
      <c r="I1132" s="444"/>
      <c r="J1132" s="444"/>
      <c r="K1132" s="444"/>
      <c r="L1132" s="444"/>
      <c r="M1132" s="444"/>
      <c r="N1132" s="444"/>
      <c r="O1132" s="444"/>
      <c r="P1132" s="444"/>
      <c r="Q1132" s="444"/>
    </row>
    <row r="1133" spans="6:17">
      <c r="F1133" s="453"/>
      <c r="G1133" s="444"/>
      <c r="H1133" s="444"/>
      <c r="I1133" s="444"/>
      <c r="J1133" s="444"/>
      <c r="K1133" s="444"/>
      <c r="L1133" s="444"/>
      <c r="M1133" s="444"/>
      <c r="N1133" s="444"/>
      <c r="O1133" s="444"/>
      <c r="P1133" s="444"/>
      <c r="Q1133" s="444"/>
    </row>
    <row r="1134" spans="6:17">
      <c r="F1134" s="453"/>
      <c r="G1134" s="444"/>
      <c r="H1134" s="444"/>
      <c r="I1134" s="444"/>
      <c r="J1134" s="444"/>
      <c r="K1134" s="444"/>
      <c r="L1134" s="444"/>
      <c r="M1134" s="444"/>
      <c r="N1134" s="444"/>
      <c r="O1134" s="444"/>
      <c r="P1134" s="444"/>
      <c r="Q1134" s="444"/>
    </row>
    <row r="1135" spans="6:17">
      <c r="F1135" s="453"/>
      <c r="G1135" s="444"/>
      <c r="H1135" s="444"/>
      <c r="I1135" s="444"/>
      <c r="J1135" s="444"/>
      <c r="K1135" s="444"/>
      <c r="L1135" s="444"/>
      <c r="M1135" s="444"/>
      <c r="N1135" s="444"/>
      <c r="O1135" s="444"/>
      <c r="P1135" s="444"/>
      <c r="Q1135" s="444"/>
    </row>
    <row r="1136" spans="6:17">
      <c r="F1136" s="453"/>
      <c r="G1136" s="444"/>
      <c r="H1136" s="444"/>
      <c r="I1136" s="444"/>
      <c r="J1136" s="444"/>
      <c r="K1136" s="444"/>
      <c r="L1136" s="444"/>
      <c r="M1136" s="444"/>
      <c r="N1136" s="444"/>
      <c r="O1136" s="444"/>
      <c r="P1136" s="444"/>
      <c r="Q1136" s="444"/>
    </row>
    <row r="1137" spans="6:17">
      <c r="F1137" s="453"/>
      <c r="G1137" s="444"/>
      <c r="H1137" s="444"/>
      <c r="I1137" s="444"/>
      <c r="J1137" s="444"/>
      <c r="K1137" s="444"/>
      <c r="L1137" s="444"/>
      <c r="M1137" s="444"/>
      <c r="N1137" s="444"/>
      <c r="O1137" s="444"/>
      <c r="P1137" s="444"/>
      <c r="Q1137" s="444"/>
    </row>
    <row r="1138" spans="6:17">
      <c r="F1138" s="453"/>
      <c r="G1138" s="444"/>
      <c r="H1138" s="444"/>
      <c r="I1138" s="444"/>
      <c r="J1138" s="444"/>
      <c r="K1138" s="444"/>
      <c r="L1138" s="444"/>
      <c r="M1138" s="444"/>
      <c r="N1138" s="444"/>
      <c r="O1138" s="444"/>
      <c r="P1138" s="444"/>
      <c r="Q1138" s="444"/>
    </row>
    <row r="1139" spans="6:17">
      <c r="F1139" s="453"/>
      <c r="G1139" s="444"/>
      <c r="H1139" s="444"/>
      <c r="I1139" s="444"/>
      <c r="J1139" s="444"/>
      <c r="K1139" s="444"/>
      <c r="L1139" s="444"/>
      <c r="M1139" s="444"/>
      <c r="N1139" s="444"/>
      <c r="O1139" s="444"/>
      <c r="P1139" s="444"/>
      <c r="Q1139" s="444"/>
    </row>
    <row r="1140" spans="6:17">
      <c r="F1140" s="453"/>
      <c r="G1140" s="444"/>
      <c r="H1140" s="444"/>
      <c r="I1140" s="444"/>
      <c r="J1140" s="444"/>
      <c r="K1140" s="444"/>
      <c r="L1140" s="444"/>
      <c r="M1140" s="444"/>
      <c r="N1140" s="444"/>
      <c r="O1140" s="444"/>
      <c r="P1140" s="444"/>
      <c r="Q1140" s="444"/>
    </row>
    <row r="1141" spans="6:17">
      <c r="F1141" s="453"/>
      <c r="G1141" s="444"/>
      <c r="H1141" s="444"/>
      <c r="I1141" s="444"/>
      <c r="J1141" s="444"/>
      <c r="K1141" s="444"/>
      <c r="L1141" s="444"/>
      <c r="M1141" s="444"/>
      <c r="N1141" s="444"/>
      <c r="O1141" s="444"/>
      <c r="P1141" s="444"/>
      <c r="Q1141" s="444"/>
    </row>
    <row r="1142" spans="6:17">
      <c r="F1142" s="453"/>
      <c r="G1142" s="444"/>
      <c r="H1142" s="444"/>
      <c r="I1142" s="444"/>
      <c r="J1142" s="444"/>
      <c r="K1142" s="444"/>
      <c r="L1142" s="444"/>
      <c r="M1142" s="444"/>
      <c r="N1142" s="444"/>
      <c r="O1142" s="444"/>
      <c r="P1142" s="444"/>
      <c r="Q1142" s="444"/>
    </row>
    <row r="1143" spans="6:17">
      <c r="F1143" s="453"/>
      <c r="G1143" s="444"/>
      <c r="H1143" s="444"/>
      <c r="I1143" s="444"/>
      <c r="J1143" s="444"/>
      <c r="K1143" s="444"/>
      <c r="L1143" s="444"/>
      <c r="M1143" s="444"/>
      <c r="N1143" s="444"/>
      <c r="O1143" s="444"/>
      <c r="P1143" s="444"/>
      <c r="Q1143" s="444"/>
    </row>
    <row r="1144" spans="6:17">
      <c r="F1144" s="453"/>
      <c r="G1144" s="444"/>
      <c r="H1144" s="444"/>
      <c r="I1144" s="444"/>
      <c r="J1144" s="444"/>
      <c r="K1144" s="444"/>
      <c r="L1144" s="444"/>
      <c r="M1144" s="444"/>
      <c r="N1144" s="444"/>
      <c r="O1144" s="444"/>
      <c r="P1144" s="444"/>
      <c r="Q1144" s="444"/>
    </row>
    <row r="1145" spans="6:17">
      <c r="F1145" s="453"/>
      <c r="G1145" s="444"/>
      <c r="H1145" s="444"/>
      <c r="I1145" s="444"/>
      <c r="J1145" s="444"/>
      <c r="K1145" s="444"/>
      <c r="L1145" s="444"/>
      <c r="M1145" s="444"/>
      <c r="N1145" s="444"/>
      <c r="O1145" s="444"/>
      <c r="P1145" s="444"/>
      <c r="Q1145" s="444"/>
    </row>
    <row r="1146" spans="6:17">
      <c r="F1146" s="453"/>
      <c r="G1146" s="444"/>
      <c r="H1146" s="444"/>
      <c r="I1146" s="444"/>
      <c r="J1146" s="444"/>
      <c r="K1146" s="444"/>
      <c r="L1146" s="444"/>
      <c r="M1146" s="444"/>
      <c r="N1146" s="444"/>
      <c r="O1146" s="444"/>
      <c r="P1146" s="444"/>
      <c r="Q1146" s="444"/>
    </row>
    <row r="1147" spans="6:17">
      <c r="F1147" s="453"/>
      <c r="G1147" s="444"/>
      <c r="H1147" s="444"/>
      <c r="I1147" s="444"/>
      <c r="J1147" s="444"/>
      <c r="K1147" s="444"/>
      <c r="L1147" s="444"/>
      <c r="M1147" s="444"/>
      <c r="N1147" s="444"/>
      <c r="O1147" s="444"/>
      <c r="P1147" s="444"/>
      <c r="Q1147" s="444"/>
    </row>
    <row r="1148" spans="6:17">
      <c r="F1148" s="453"/>
      <c r="G1148" s="444"/>
      <c r="H1148" s="444"/>
      <c r="I1148" s="444"/>
      <c r="J1148" s="444"/>
      <c r="K1148" s="444"/>
      <c r="L1148" s="444"/>
      <c r="M1148" s="444"/>
      <c r="N1148" s="444"/>
      <c r="O1148" s="444"/>
      <c r="P1148" s="444"/>
      <c r="Q1148" s="444"/>
    </row>
    <row r="1149" spans="6:17">
      <c r="F1149" s="453"/>
      <c r="G1149" s="444"/>
      <c r="H1149" s="444"/>
      <c r="I1149" s="444"/>
      <c r="J1149" s="444"/>
      <c r="K1149" s="444"/>
      <c r="L1149" s="444"/>
      <c r="M1149" s="444"/>
      <c r="N1149" s="444"/>
      <c r="O1149" s="444"/>
      <c r="P1149" s="444"/>
      <c r="Q1149" s="444"/>
    </row>
    <row r="1150" spans="6:17">
      <c r="F1150" s="453"/>
      <c r="G1150" s="444"/>
      <c r="H1150" s="444"/>
      <c r="I1150" s="444"/>
      <c r="J1150" s="444"/>
      <c r="K1150" s="444"/>
      <c r="L1150" s="444"/>
      <c r="M1150" s="444"/>
      <c r="N1150" s="444"/>
      <c r="O1150" s="444"/>
      <c r="P1150" s="444"/>
      <c r="Q1150" s="444"/>
    </row>
    <row r="1151" spans="6:17">
      <c r="F1151" s="453"/>
      <c r="G1151" s="444"/>
      <c r="H1151" s="444"/>
      <c r="I1151" s="444"/>
      <c r="J1151" s="444"/>
      <c r="K1151" s="444"/>
      <c r="L1151" s="444"/>
      <c r="M1151" s="444"/>
      <c r="N1151" s="444"/>
      <c r="O1151" s="444"/>
      <c r="P1151" s="444"/>
      <c r="Q1151" s="444"/>
    </row>
    <row r="1152" spans="6:17">
      <c r="F1152" s="453"/>
      <c r="G1152" s="444"/>
      <c r="H1152" s="444"/>
      <c r="I1152" s="444"/>
      <c r="J1152" s="444"/>
      <c r="K1152" s="444"/>
      <c r="L1152" s="444"/>
      <c r="M1152" s="444"/>
      <c r="N1152" s="444"/>
      <c r="O1152" s="444"/>
      <c r="P1152" s="444"/>
      <c r="Q1152" s="444"/>
    </row>
    <row r="1153" spans="6:17">
      <c r="F1153" s="453"/>
      <c r="G1153" s="444"/>
      <c r="H1153" s="444"/>
      <c r="I1153" s="444"/>
      <c r="J1153" s="444"/>
      <c r="K1153" s="444"/>
      <c r="L1153" s="444"/>
      <c r="M1153" s="444"/>
      <c r="N1153" s="444"/>
      <c r="O1153" s="444"/>
      <c r="P1153" s="444"/>
      <c r="Q1153" s="444"/>
    </row>
    <row r="1154" spans="6:17">
      <c r="F1154" s="453"/>
      <c r="G1154" s="444"/>
      <c r="H1154" s="444"/>
      <c r="I1154" s="444"/>
      <c r="J1154" s="444"/>
      <c r="K1154" s="444"/>
      <c r="L1154" s="444"/>
      <c r="M1154" s="444"/>
      <c r="N1154" s="444"/>
      <c r="O1154" s="444"/>
      <c r="P1154" s="444"/>
      <c r="Q1154" s="444"/>
    </row>
    <row r="1155" spans="6:17">
      <c r="F1155" s="453"/>
      <c r="G1155" s="444"/>
      <c r="H1155" s="444"/>
      <c r="I1155" s="444"/>
      <c r="J1155" s="444"/>
      <c r="K1155" s="444"/>
      <c r="L1155" s="444"/>
      <c r="M1155" s="444"/>
      <c r="N1155" s="444"/>
      <c r="O1155" s="444"/>
      <c r="P1155" s="444"/>
      <c r="Q1155" s="444"/>
    </row>
    <row r="1156" spans="6:17">
      <c r="F1156" s="453"/>
      <c r="G1156" s="444"/>
      <c r="H1156" s="444"/>
      <c r="I1156" s="444"/>
      <c r="J1156" s="444"/>
      <c r="K1156" s="444"/>
      <c r="L1156" s="444"/>
      <c r="M1156" s="444"/>
      <c r="N1156" s="444"/>
      <c r="O1156" s="444"/>
      <c r="P1156" s="444"/>
      <c r="Q1156" s="444"/>
    </row>
    <row r="1157" spans="6:17">
      <c r="F1157" s="453"/>
      <c r="G1157" s="444"/>
      <c r="H1157" s="444"/>
      <c r="I1157" s="444"/>
      <c r="J1157" s="444"/>
      <c r="K1157" s="444"/>
      <c r="L1157" s="444"/>
      <c r="M1157" s="444"/>
      <c r="N1157" s="444"/>
      <c r="O1157" s="444"/>
      <c r="P1157" s="444"/>
      <c r="Q1157" s="444"/>
    </row>
    <row r="1158" spans="6:17">
      <c r="F1158" s="453"/>
      <c r="G1158" s="444"/>
      <c r="H1158" s="444"/>
      <c r="I1158" s="444"/>
      <c r="J1158" s="444"/>
      <c r="K1158" s="444"/>
      <c r="L1158" s="444"/>
      <c r="M1158" s="444"/>
      <c r="N1158" s="444"/>
      <c r="O1158" s="444"/>
      <c r="P1158" s="444"/>
      <c r="Q1158" s="444"/>
    </row>
    <row r="1159" spans="6:17">
      <c r="F1159" s="453"/>
      <c r="G1159" s="444"/>
      <c r="H1159" s="444"/>
      <c r="I1159" s="444"/>
      <c r="J1159" s="444"/>
      <c r="K1159" s="444"/>
      <c r="L1159" s="444"/>
      <c r="M1159" s="444"/>
      <c r="N1159" s="444"/>
      <c r="O1159" s="444"/>
      <c r="P1159" s="444"/>
      <c r="Q1159" s="444"/>
    </row>
    <row r="1160" spans="6:17">
      <c r="F1160" s="453"/>
      <c r="G1160" s="444"/>
      <c r="H1160" s="444"/>
      <c r="I1160" s="444"/>
      <c r="J1160" s="444"/>
      <c r="K1160" s="444"/>
      <c r="L1160" s="444"/>
      <c r="M1160" s="444"/>
      <c r="N1160" s="444"/>
      <c r="O1160" s="444"/>
      <c r="P1160" s="444"/>
      <c r="Q1160" s="444"/>
    </row>
    <row r="1161" spans="6:17">
      <c r="F1161" s="453"/>
      <c r="G1161" s="444"/>
      <c r="H1161" s="444"/>
      <c r="I1161" s="444"/>
      <c r="J1161" s="444"/>
      <c r="K1161" s="444"/>
      <c r="L1161" s="444"/>
      <c r="M1161" s="444"/>
      <c r="N1161" s="444"/>
      <c r="O1161" s="444"/>
      <c r="P1161" s="444"/>
      <c r="Q1161" s="444"/>
    </row>
    <row r="1162" spans="6:17">
      <c r="F1162" s="453"/>
      <c r="G1162" s="444"/>
      <c r="H1162" s="444"/>
      <c r="I1162" s="444"/>
      <c r="J1162" s="444"/>
      <c r="K1162" s="444"/>
      <c r="L1162" s="444"/>
      <c r="M1162" s="444"/>
      <c r="N1162" s="444"/>
      <c r="O1162" s="444"/>
      <c r="P1162" s="444"/>
      <c r="Q1162" s="444"/>
    </row>
    <row r="1163" spans="6:17">
      <c r="F1163" s="453"/>
      <c r="G1163" s="444"/>
      <c r="H1163" s="444"/>
      <c r="I1163" s="444"/>
      <c r="J1163" s="444"/>
      <c r="K1163" s="444"/>
      <c r="L1163" s="444"/>
      <c r="M1163" s="444"/>
      <c r="N1163" s="444"/>
      <c r="O1163" s="444"/>
      <c r="P1163" s="444"/>
      <c r="Q1163" s="444"/>
    </row>
    <row r="1164" spans="6:17">
      <c r="F1164" s="453"/>
      <c r="G1164" s="444"/>
      <c r="H1164" s="444"/>
      <c r="I1164" s="444"/>
      <c r="J1164" s="444"/>
      <c r="K1164" s="444"/>
      <c r="L1164" s="444"/>
      <c r="M1164" s="444"/>
      <c r="N1164" s="444"/>
      <c r="O1164" s="444"/>
      <c r="P1164" s="444"/>
      <c r="Q1164" s="444"/>
    </row>
    <row r="1165" spans="6:17">
      <c r="F1165" s="453"/>
      <c r="G1165" s="444"/>
      <c r="H1165" s="444"/>
      <c r="I1165" s="444"/>
      <c r="J1165" s="444"/>
      <c r="K1165" s="444"/>
      <c r="L1165" s="444"/>
      <c r="M1165" s="444"/>
      <c r="N1165" s="444"/>
      <c r="O1165" s="444"/>
      <c r="P1165" s="444"/>
      <c r="Q1165" s="444"/>
    </row>
    <row r="1166" spans="6:17">
      <c r="F1166" s="453"/>
      <c r="G1166" s="444"/>
      <c r="H1166" s="444"/>
      <c r="I1166" s="444"/>
      <c r="J1166" s="444"/>
      <c r="K1166" s="444"/>
      <c r="L1166" s="444"/>
      <c r="M1166" s="444"/>
      <c r="N1166" s="444"/>
      <c r="O1166" s="444"/>
      <c r="P1166" s="444"/>
      <c r="Q1166" s="444"/>
    </row>
    <row r="1167" spans="6:17">
      <c r="F1167" s="453"/>
      <c r="G1167" s="444"/>
      <c r="H1167" s="444"/>
      <c r="I1167" s="444"/>
      <c r="J1167" s="444"/>
      <c r="K1167" s="444"/>
      <c r="L1167" s="444"/>
      <c r="M1167" s="444"/>
      <c r="N1167" s="444"/>
      <c r="O1167" s="444"/>
      <c r="P1167" s="444"/>
      <c r="Q1167" s="444"/>
    </row>
    <row r="1168" spans="6:17">
      <c r="F1168" s="453"/>
      <c r="G1168" s="444"/>
      <c r="H1168" s="444"/>
      <c r="I1168" s="444"/>
      <c r="J1168" s="444"/>
      <c r="K1168" s="444"/>
      <c r="L1168" s="444"/>
      <c r="M1168" s="444"/>
      <c r="N1168" s="444"/>
      <c r="O1168" s="444"/>
      <c r="P1168" s="444"/>
      <c r="Q1168" s="444"/>
    </row>
    <row r="1169" spans="6:17">
      <c r="F1169" s="453"/>
      <c r="G1169" s="444"/>
      <c r="H1169" s="444"/>
      <c r="I1169" s="444"/>
      <c r="J1169" s="444"/>
      <c r="K1169" s="444"/>
      <c r="L1169" s="444"/>
      <c r="M1169" s="444"/>
      <c r="N1169" s="444"/>
      <c r="O1169" s="444"/>
      <c r="P1169" s="444"/>
      <c r="Q1169" s="444"/>
    </row>
    <row r="1170" spans="6:17">
      <c r="F1170" s="453"/>
      <c r="G1170" s="444"/>
      <c r="H1170" s="444"/>
      <c r="I1170" s="444"/>
      <c r="J1170" s="444"/>
      <c r="K1170" s="444"/>
      <c r="L1170" s="444"/>
      <c r="M1170" s="444"/>
      <c r="N1170" s="444"/>
      <c r="O1170" s="444"/>
      <c r="P1170" s="444"/>
      <c r="Q1170" s="444"/>
    </row>
    <row r="1171" spans="6:17">
      <c r="F1171" s="453"/>
      <c r="G1171" s="444"/>
      <c r="H1171" s="444"/>
      <c r="I1171" s="444"/>
      <c r="J1171" s="444"/>
      <c r="K1171" s="444"/>
      <c r="L1171" s="444"/>
      <c r="M1171" s="444"/>
      <c r="N1171" s="444"/>
      <c r="O1171" s="444"/>
      <c r="P1171" s="444"/>
      <c r="Q1171" s="444"/>
    </row>
    <row r="1172" spans="6:17">
      <c r="F1172" s="453"/>
      <c r="G1172" s="444"/>
      <c r="H1172" s="444"/>
      <c r="I1172" s="444"/>
      <c r="J1172" s="444"/>
      <c r="K1172" s="444"/>
      <c r="L1172" s="444"/>
      <c r="M1172" s="444"/>
      <c r="N1172" s="444"/>
      <c r="O1172" s="444"/>
      <c r="P1172" s="444"/>
      <c r="Q1172" s="444"/>
    </row>
    <row r="1173" spans="6:17">
      <c r="F1173" s="453"/>
      <c r="G1173" s="444"/>
      <c r="H1173" s="444"/>
      <c r="I1173" s="444"/>
      <c r="J1173" s="444"/>
      <c r="K1173" s="444"/>
      <c r="L1173" s="444"/>
      <c r="M1173" s="444"/>
      <c r="N1173" s="444"/>
      <c r="O1173" s="444"/>
      <c r="P1173" s="444"/>
      <c r="Q1173" s="444"/>
    </row>
    <row r="1174" spans="6:17">
      <c r="F1174" s="453"/>
      <c r="G1174" s="444"/>
      <c r="H1174" s="444"/>
      <c r="I1174" s="444"/>
      <c r="J1174" s="444"/>
      <c r="K1174" s="444"/>
      <c r="L1174" s="444"/>
      <c r="M1174" s="444"/>
      <c r="N1174" s="444"/>
      <c r="O1174" s="444"/>
      <c r="P1174" s="444"/>
      <c r="Q1174" s="444"/>
    </row>
    <row r="1175" spans="6:17">
      <c r="F1175" s="453"/>
      <c r="G1175" s="444"/>
      <c r="H1175" s="444"/>
      <c r="I1175" s="444"/>
      <c r="J1175" s="444"/>
      <c r="K1175" s="444"/>
      <c r="L1175" s="444"/>
      <c r="M1175" s="444"/>
      <c r="N1175" s="444"/>
      <c r="O1175" s="444"/>
      <c r="P1175" s="444"/>
      <c r="Q1175" s="444"/>
    </row>
    <row r="1176" spans="6:17">
      <c r="F1176" s="453"/>
      <c r="G1176" s="444"/>
      <c r="H1176" s="444"/>
      <c r="I1176" s="444"/>
      <c r="J1176" s="444"/>
      <c r="K1176" s="444"/>
      <c r="L1176" s="444"/>
      <c r="M1176" s="444"/>
      <c r="N1176" s="444"/>
      <c r="O1176" s="444"/>
      <c r="P1176" s="444"/>
      <c r="Q1176" s="444"/>
    </row>
    <row r="1177" spans="6:17">
      <c r="F1177" s="453"/>
      <c r="G1177" s="444"/>
      <c r="H1177" s="444"/>
      <c r="I1177" s="444"/>
      <c r="J1177" s="444"/>
      <c r="K1177" s="444"/>
      <c r="L1177" s="444"/>
      <c r="M1177" s="444"/>
      <c r="N1177" s="444"/>
      <c r="O1177" s="444"/>
      <c r="P1177" s="444"/>
      <c r="Q1177" s="444"/>
    </row>
    <row r="1178" spans="6:17">
      <c r="F1178" s="453"/>
      <c r="G1178" s="444"/>
      <c r="H1178" s="444"/>
      <c r="I1178" s="444"/>
      <c r="J1178" s="444"/>
      <c r="K1178" s="444"/>
      <c r="L1178" s="444"/>
      <c r="M1178" s="444"/>
      <c r="N1178" s="444"/>
      <c r="O1178" s="444"/>
      <c r="P1178" s="444"/>
      <c r="Q1178" s="444"/>
    </row>
    <row r="1179" spans="6:17">
      <c r="F1179" s="453"/>
      <c r="G1179" s="444"/>
      <c r="H1179" s="444"/>
      <c r="I1179" s="444"/>
      <c r="J1179" s="444"/>
      <c r="K1179" s="444"/>
      <c r="L1179" s="444"/>
      <c r="M1179" s="444"/>
      <c r="N1179" s="444"/>
      <c r="O1179" s="444"/>
      <c r="P1179" s="444"/>
      <c r="Q1179" s="444"/>
    </row>
    <row r="1180" spans="6:17">
      <c r="F1180" s="453"/>
      <c r="G1180" s="444"/>
      <c r="H1180" s="444"/>
      <c r="I1180" s="444"/>
      <c r="J1180" s="444"/>
      <c r="K1180" s="444"/>
      <c r="L1180" s="444"/>
      <c r="M1180" s="444"/>
      <c r="N1180" s="444"/>
      <c r="O1180" s="444"/>
      <c r="P1180" s="444"/>
      <c r="Q1180" s="444"/>
    </row>
    <row r="1181" spans="6:17">
      <c r="F1181" s="453"/>
      <c r="G1181" s="444"/>
      <c r="H1181" s="444"/>
      <c r="I1181" s="444"/>
      <c r="J1181" s="444"/>
      <c r="K1181" s="444"/>
      <c r="L1181" s="444"/>
      <c r="M1181" s="444"/>
      <c r="N1181" s="444"/>
      <c r="O1181" s="444"/>
      <c r="P1181" s="444"/>
      <c r="Q1181" s="444"/>
    </row>
    <row r="1182" spans="6:17">
      <c r="F1182" s="453"/>
      <c r="G1182" s="444"/>
      <c r="H1182" s="444"/>
      <c r="I1182" s="444"/>
      <c r="J1182" s="444"/>
      <c r="K1182" s="444"/>
      <c r="L1182" s="444"/>
      <c r="M1182" s="444"/>
      <c r="N1182" s="444"/>
      <c r="O1182" s="444"/>
      <c r="P1182" s="444"/>
      <c r="Q1182" s="444"/>
    </row>
    <row r="1183" spans="6:17">
      <c r="F1183" s="453"/>
      <c r="G1183" s="444"/>
      <c r="H1183" s="444"/>
      <c r="I1183" s="444"/>
      <c r="J1183" s="444"/>
      <c r="K1183" s="444"/>
      <c r="L1183" s="444"/>
      <c r="M1183" s="444"/>
      <c r="N1183" s="444"/>
      <c r="O1183" s="444"/>
      <c r="P1183" s="444"/>
      <c r="Q1183" s="444"/>
    </row>
    <row r="1184" spans="6:17">
      <c r="F1184" s="453"/>
      <c r="G1184" s="444"/>
      <c r="H1184" s="444"/>
      <c r="I1184" s="444"/>
      <c r="J1184" s="444"/>
      <c r="K1184" s="444"/>
      <c r="L1184" s="444"/>
      <c r="M1184" s="444"/>
      <c r="N1184" s="444"/>
      <c r="O1184" s="444"/>
      <c r="P1184" s="444"/>
      <c r="Q1184" s="444"/>
    </row>
    <row r="1185" spans="6:17">
      <c r="F1185" s="453"/>
      <c r="G1185" s="444"/>
      <c r="H1185" s="444"/>
      <c r="I1185" s="444"/>
      <c r="J1185" s="444"/>
      <c r="K1185" s="444"/>
      <c r="L1185" s="444"/>
      <c r="M1185" s="444"/>
      <c r="N1185" s="444"/>
      <c r="O1185" s="444"/>
      <c r="P1185" s="444"/>
      <c r="Q1185" s="444"/>
    </row>
    <row r="1186" spans="6:17">
      <c r="F1186" s="453"/>
      <c r="G1186" s="444"/>
      <c r="H1186" s="444"/>
      <c r="I1186" s="444"/>
      <c r="J1186" s="444"/>
      <c r="K1186" s="444"/>
      <c r="L1186" s="444"/>
      <c r="M1186" s="444"/>
      <c r="N1186" s="444"/>
      <c r="O1186" s="444"/>
      <c r="P1186" s="444"/>
      <c r="Q1186" s="444"/>
    </row>
    <row r="1187" spans="6:17">
      <c r="F1187" s="453"/>
      <c r="G1187" s="444"/>
      <c r="H1187" s="444"/>
      <c r="I1187" s="444"/>
      <c r="J1187" s="444"/>
      <c r="K1187" s="444"/>
      <c r="L1187" s="444"/>
      <c r="M1187" s="444"/>
      <c r="N1187" s="444"/>
      <c r="O1187" s="444"/>
      <c r="P1187" s="444"/>
      <c r="Q1187" s="444"/>
    </row>
    <row r="1188" spans="6:17">
      <c r="F1188" s="453"/>
      <c r="G1188" s="444"/>
      <c r="H1188" s="444"/>
      <c r="I1188" s="444"/>
      <c r="J1188" s="444"/>
      <c r="K1188" s="444"/>
      <c r="L1188" s="444"/>
      <c r="M1188" s="444"/>
      <c r="N1188" s="444"/>
      <c r="O1188" s="444"/>
      <c r="P1188" s="444"/>
      <c r="Q1188" s="444"/>
    </row>
    <row r="1189" spans="6:17">
      <c r="F1189" s="453"/>
      <c r="G1189" s="444"/>
      <c r="H1189" s="444"/>
      <c r="I1189" s="444"/>
      <c r="J1189" s="444"/>
      <c r="K1189" s="444"/>
      <c r="L1189" s="444"/>
      <c r="M1189" s="444"/>
      <c r="N1189" s="444"/>
      <c r="O1189" s="444"/>
      <c r="P1189" s="444"/>
      <c r="Q1189" s="444"/>
    </row>
    <row r="1190" spans="6:17">
      <c r="F1190" s="453"/>
      <c r="G1190" s="444"/>
      <c r="H1190" s="444"/>
      <c r="I1190" s="444"/>
      <c r="J1190" s="444"/>
      <c r="K1190" s="444"/>
      <c r="L1190" s="444"/>
      <c r="M1190" s="444"/>
      <c r="N1190" s="444"/>
      <c r="O1190" s="444"/>
      <c r="P1190" s="444"/>
      <c r="Q1190" s="444"/>
    </row>
    <row r="1191" spans="6:17">
      <c r="F1191" s="453"/>
      <c r="G1191" s="444"/>
      <c r="H1191" s="444"/>
      <c r="I1191" s="444"/>
      <c r="J1191" s="444"/>
      <c r="K1191" s="444"/>
      <c r="L1191" s="444"/>
      <c r="M1191" s="444"/>
      <c r="N1191" s="444"/>
      <c r="O1191" s="444"/>
      <c r="P1191" s="444"/>
      <c r="Q1191" s="444"/>
    </row>
    <row r="1192" spans="6:17">
      <c r="F1192" s="453"/>
      <c r="G1192" s="444"/>
      <c r="H1192" s="444"/>
      <c r="I1192" s="444"/>
      <c r="J1192" s="444"/>
      <c r="K1192" s="444"/>
      <c r="L1192" s="444"/>
      <c r="M1192" s="444"/>
      <c r="N1192" s="444"/>
      <c r="O1192" s="444"/>
      <c r="P1192" s="444"/>
      <c r="Q1192" s="444"/>
    </row>
    <row r="1193" spans="6:17">
      <c r="F1193" s="453"/>
      <c r="G1193" s="444"/>
      <c r="H1193" s="444"/>
      <c r="I1193" s="444"/>
      <c r="J1193" s="444"/>
      <c r="K1193" s="444"/>
      <c r="L1193" s="444"/>
      <c r="M1193" s="444"/>
      <c r="N1193" s="444"/>
      <c r="O1193" s="444"/>
      <c r="P1193" s="444"/>
      <c r="Q1193" s="444"/>
    </row>
    <row r="1194" spans="6:17">
      <c r="F1194" s="453"/>
      <c r="G1194" s="444"/>
      <c r="H1194" s="444"/>
      <c r="I1194" s="444"/>
      <c r="J1194" s="444"/>
      <c r="K1194" s="444"/>
      <c r="L1194" s="444"/>
      <c r="M1194" s="444"/>
      <c r="N1194" s="444"/>
      <c r="O1194" s="444"/>
      <c r="P1194" s="444"/>
      <c r="Q1194" s="444"/>
    </row>
    <row r="1195" spans="6:17">
      <c r="F1195" s="453"/>
      <c r="G1195" s="444"/>
      <c r="H1195" s="444"/>
      <c r="I1195" s="444"/>
      <c r="J1195" s="444"/>
      <c r="K1195" s="444"/>
      <c r="L1195" s="444"/>
      <c r="M1195" s="444"/>
      <c r="N1195" s="444"/>
      <c r="O1195" s="444"/>
      <c r="P1195" s="444"/>
      <c r="Q1195" s="444"/>
    </row>
    <row r="1196" spans="6:17">
      <c r="F1196" s="453"/>
      <c r="G1196" s="444"/>
      <c r="H1196" s="444"/>
      <c r="I1196" s="444"/>
      <c r="J1196" s="444"/>
      <c r="K1196" s="444"/>
      <c r="L1196" s="444"/>
      <c r="M1196" s="444"/>
      <c r="N1196" s="444"/>
      <c r="O1196" s="444"/>
      <c r="P1196" s="444"/>
      <c r="Q1196" s="444"/>
    </row>
    <row r="1197" spans="6:17">
      <c r="F1197" s="453"/>
      <c r="G1197" s="444"/>
      <c r="H1197" s="444"/>
      <c r="I1197" s="444"/>
      <c r="J1197" s="444"/>
      <c r="K1197" s="444"/>
      <c r="L1197" s="444"/>
      <c r="M1197" s="444"/>
      <c r="N1197" s="444"/>
      <c r="O1197" s="444"/>
      <c r="P1197" s="444"/>
      <c r="Q1197" s="444"/>
    </row>
    <row r="1198" spans="6:17">
      <c r="F1198" s="453"/>
      <c r="G1198" s="444"/>
      <c r="H1198" s="444"/>
      <c r="I1198" s="444"/>
      <c r="J1198" s="444"/>
      <c r="K1198" s="444"/>
      <c r="L1198" s="444"/>
      <c r="M1198" s="444"/>
      <c r="N1198" s="444"/>
      <c r="O1198" s="444"/>
      <c r="P1198" s="444"/>
      <c r="Q1198" s="444"/>
    </row>
    <row r="1199" spans="6:17">
      <c r="F1199" s="453"/>
      <c r="G1199" s="444"/>
      <c r="H1199" s="444"/>
      <c r="I1199" s="444"/>
      <c r="J1199" s="444"/>
      <c r="K1199" s="444"/>
      <c r="L1199" s="444"/>
      <c r="M1199" s="444"/>
      <c r="N1199" s="444"/>
      <c r="O1199" s="444"/>
      <c r="P1199" s="444"/>
      <c r="Q1199" s="444"/>
    </row>
    <row r="1200" spans="6:17">
      <c r="F1200" s="453"/>
      <c r="G1200" s="444"/>
      <c r="H1200" s="444"/>
      <c r="I1200" s="444"/>
      <c r="J1200" s="444"/>
      <c r="K1200" s="444"/>
      <c r="L1200" s="444"/>
      <c r="M1200" s="444"/>
      <c r="N1200" s="444"/>
      <c r="O1200" s="444"/>
      <c r="P1200" s="444"/>
      <c r="Q1200" s="444"/>
    </row>
    <row r="1201" spans="6:17">
      <c r="F1201" s="453"/>
      <c r="G1201" s="444"/>
      <c r="H1201" s="444"/>
      <c r="I1201" s="444"/>
      <c r="J1201" s="444"/>
      <c r="K1201" s="444"/>
      <c r="L1201" s="444"/>
      <c r="M1201" s="444"/>
      <c r="N1201" s="444"/>
      <c r="O1201" s="444"/>
      <c r="P1201" s="444"/>
      <c r="Q1201" s="444"/>
    </row>
    <row r="1202" spans="6:17">
      <c r="F1202" s="453"/>
      <c r="G1202" s="444"/>
      <c r="H1202" s="444"/>
      <c r="I1202" s="444"/>
      <c r="J1202" s="444"/>
      <c r="K1202" s="444"/>
      <c r="L1202" s="444"/>
      <c r="M1202" s="444"/>
      <c r="N1202" s="444"/>
      <c r="O1202" s="444"/>
      <c r="P1202" s="444"/>
      <c r="Q1202" s="444"/>
    </row>
  </sheetData>
  <sheetProtection algorithmName="SHA-512" hashValue="ELAj2vCma6MWraGbNjsqOE1Uoz1c5obJBYPk6Z+s1bqiVxXwd0DwRKv2HPKGVpASwi5Ij2xrnaQ17YDv9NlHfw==" saltValue="3hltyfczTGAUdgUkSmasP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I68" sqref="I68"/>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117" t="s">
        <v>259</v>
      </c>
      <c r="C1" s="1117"/>
      <c r="D1" s="1117"/>
      <c r="E1" s="1117"/>
      <c r="F1" s="480"/>
      <c r="G1" s="480"/>
    </row>
    <row r="2" spans="2:7" ht="26.25">
      <c r="B2" s="1117" t="s">
        <v>751</v>
      </c>
      <c r="C2" s="1117"/>
      <c r="D2" s="1117"/>
      <c r="E2" s="1117"/>
      <c r="F2" s="480"/>
      <c r="G2" s="480"/>
    </row>
    <row r="3" spans="2:7" ht="21">
      <c r="B3" s="1073"/>
      <c r="C3" s="1073"/>
      <c r="D3" s="1073"/>
      <c r="E3" s="1073"/>
      <c r="F3" s="480"/>
      <c r="G3" s="480"/>
    </row>
    <row r="4" spans="2:7" ht="21.75" thickBot="1">
      <c r="B4" s="1184"/>
      <c r="C4" s="1184"/>
      <c r="D4" s="1184"/>
      <c r="E4" s="1184"/>
      <c r="F4" s="480"/>
      <c r="G4" s="480"/>
    </row>
    <row r="5" spans="2:7" ht="48.75" customHeight="1">
      <c r="B5" s="1196" t="s">
        <v>664</v>
      </c>
      <c r="C5" s="1338" t="s">
        <v>464</v>
      </c>
      <c r="D5" s="1339"/>
      <c r="E5" s="1340"/>
    </row>
    <row r="6" spans="2:7">
      <c r="B6" s="1197"/>
      <c r="C6" s="1182" t="s">
        <v>465</v>
      </c>
      <c r="D6" s="482" t="s">
        <v>466</v>
      </c>
      <c r="E6" s="483" t="s">
        <v>467</v>
      </c>
    </row>
    <row r="7" spans="2:7" ht="29.25" customHeight="1">
      <c r="B7" s="1198"/>
      <c r="C7" s="1188"/>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4"/>
    </row>
    <row r="12" spans="2:7" ht="15" customHeight="1">
      <c r="B12" s="493" t="s">
        <v>604</v>
      </c>
      <c r="C12" s="494"/>
      <c r="D12" s="494"/>
      <c r="E12" s="495"/>
    </row>
    <row r="13" spans="2:7" ht="50.25" customHeight="1">
      <c r="B13" s="1199" t="s">
        <v>665</v>
      </c>
      <c r="C13" s="1341" t="s">
        <v>464</v>
      </c>
      <c r="D13" s="1342"/>
      <c r="E13" s="1343"/>
    </row>
    <row r="14" spans="2:7">
      <c r="B14" s="1197"/>
      <c r="C14" s="1182" t="s">
        <v>465</v>
      </c>
      <c r="D14" s="496" t="s">
        <v>466</v>
      </c>
      <c r="E14" s="497" t="s">
        <v>467</v>
      </c>
    </row>
    <row r="15" spans="2:7">
      <c r="B15" s="1198"/>
      <c r="C15" s="1188"/>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200" t="s">
        <v>666</v>
      </c>
      <c r="C23" s="1344" t="s">
        <v>464</v>
      </c>
      <c r="D23" s="1345"/>
      <c r="E23" s="1346"/>
    </row>
    <row r="24" spans="2:5">
      <c r="B24" s="1201"/>
      <c r="C24" s="1182" t="s">
        <v>465</v>
      </c>
      <c r="D24" s="507" t="s">
        <v>466</v>
      </c>
      <c r="E24" s="508" t="s">
        <v>467</v>
      </c>
    </row>
    <row r="25" spans="2:5">
      <c r="B25" s="1202"/>
      <c r="C25" s="1188"/>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1" t="s">
        <v>667</v>
      </c>
      <c r="C31" s="1347" t="s">
        <v>464</v>
      </c>
      <c r="D31" s="1348"/>
      <c r="E31" s="1349"/>
    </row>
    <row r="32" spans="2:5">
      <c r="B32" s="1192"/>
      <c r="C32" s="1182" t="s">
        <v>465</v>
      </c>
      <c r="D32" s="482" t="s">
        <v>466</v>
      </c>
      <c r="E32" s="508" t="s">
        <v>467</v>
      </c>
    </row>
    <row r="33" spans="2:7">
      <c r="B33" s="1193"/>
      <c r="C33" s="1188"/>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94" t="s">
        <v>471</v>
      </c>
      <c r="C42" s="1194"/>
      <c r="D42" s="1194"/>
      <c r="E42" s="1194"/>
    </row>
    <row r="43" spans="2:7">
      <c r="B43" s="1194"/>
      <c r="C43" s="1194"/>
      <c r="D43" s="1194"/>
      <c r="E43" s="1194"/>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35"/>
      <c r="D46" s="526"/>
      <c r="E46" s="526"/>
    </row>
    <row r="47" spans="2:7">
      <c r="B47" s="528" t="s">
        <v>553</v>
      </c>
      <c r="D47" s="526"/>
      <c r="E47" s="526"/>
      <c r="G47" s="1336"/>
    </row>
    <row r="48" spans="2:7">
      <c r="D48" s="526"/>
      <c r="E48" s="526"/>
    </row>
    <row r="49" spans="2:5" ht="15" customHeight="1">
      <c r="B49" s="1194"/>
      <c r="C49" s="1194"/>
      <c r="D49" s="1194"/>
      <c r="E49" s="1194"/>
    </row>
    <row r="50" spans="2:5">
      <c r="B50" s="1194"/>
      <c r="C50" s="1194"/>
      <c r="D50" s="1194"/>
      <c r="E50" s="1194"/>
    </row>
    <row r="51" spans="2:5">
      <c r="B51" s="1194"/>
      <c r="C51" s="1194"/>
      <c r="D51" s="1194"/>
      <c r="E51" s="1194"/>
    </row>
    <row r="52" spans="2:5" ht="21">
      <c r="B52" s="1073" t="str">
        <f>B1</f>
        <v>THE FLORIDA COLLEGE SYSTEM</v>
      </c>
      <c r="C52" s="1073"/>
      <c r="D52" s="1073"/>
      <c r="E52" s="1073"/>
    </row>
    <row r="53" spans="2:5" ht="21">
      <c r="B53" s="1073" t="str">
        <f>B2&amp;" , cont."</f>
        <v>FALL 2018-19 TUITION INCREASED BY 0% , cont.</v>
      </c>
      <c r="C53" s="1073"/>
      <c r="D53" s="1073"/>
      <c r="E53" s="1073"/>
    </row>
    <row r="54" spans="2:5" ht="21">
      <c r="B54" s="1073"/>
      <c r="C54" s="1073"/>
      <c r="D54" s="1073"/>
      <c r="E54" s="1073"/>
    </row>
    <row r="55" spans="2:5" ht="16.5" thickBot="1">
      <c r="B55" s="505"/>
      <c r="C55" s="522"/>
      <c r="D55" s="522"/>
      <c r="E55" s="522"/>
    </row>
    <row r="56" spans="2:5" ht="33" customHeight="1">
      <c r="B56" s="1185" t="s">
        <v>638</v>
      </c>
      <c r="C56" s="1344" t="s">
        <v>464</v>
      </c>
      <c r="D56" s="1345"/>
      <c r="E56" s="1346"/>
    </row>
    <row r="57" spans="2:5">
      <c r="B57" s="1186"/>
      <c r="C57" s="1182" t="s">
        <v>465</v>
      </c>
      <c r="D57" s="482" t="s">
        <v>466</v>
      </c>
      <c r="E57" s="508" t="s">
        <v>467</v>
      </c>
    </row>
    <row r="58" spans="2:5">
      <c r="B58" s="1187"/>
      <c r="C58" s="1188"/>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189" t="s">
        <v>639</v>
      </c>
      <c r="C63" s="1341" t="s">
        <v>464</v>
      </c>
      <c r="D63" s="1342"/>
      <c r="E63" s="1350"/>
    </row>
    <row r="64" spans="2:5">
      <c r="B64" s="1186"/>
      <c r="C64" s="1182" t="s">
        <v>465</v>
      </c>
      <c r="D64" s="482" t="s">
        <v>466</v>
      </c>
      <c r="E64" s="508" t="s">
        <v>467</v>
      </c>
    </row>
    <row r="65" spans="2:16">
      <c r="B65" s="1187"/>
      <c r="C65" s="1188"/>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79" t="s">
        <v>523</v>
      </c>
      <c r="C72" s="1344" t="s">
        <v>622</v>
      </c>
      <c r="D72" s="1345"/>
      <c r="E72" s="1346"/>
    </row>
    <row r="73" spans="2:16">
      <c r="B73" s="1180"/>
      <c r="C73" s="1182" t="s">
        <v>465</v>
      </c>
      <c r="D73" s="534" t="s">
        <v>466</v>
      </c>
      <c r="E73" s="535" t="s">
        <v>467</v>
      </c>
    </row>
    <row r="74" spans="2:16">
      <c r="B74" s="1181"/>
      <c r="C74" s="1183"/>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95"/>
      <c r="G76" s="1195"/>
      <c r="H76" s="1195"/>
      <c r="I76" s="1195"/>
      <c r="J76" s="1195"/>
      <c r="K76" s="1195"/>
      <c r="L76" s="1195"/>
      <c r="M76" s="1195"/>
      <c r="N76" s="1195"/>
      <c r="O76" s="1195"/>
      <c r="P76" s="1195"/>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95"/>
      <c r="G78" s="1195"/>
      <c r="H78" s="1195"/>
      <c r="I78" s="1195"/>
      <c r="J78" s="1195"/>
      <c r="K78" s="1195"/>
      <c r="L78" s="1195"/>
      <c r="M78" s="1195"/>
      <c r="N78" s="1195"/>
      <c r="O78" s="1195"/>
      <c r="P78" s="1195"/>
    </row>
    <row r="79" spans="2:16" ht="15" customHeight="1">
      <c r="B79" s="523" t="s">
        <v>474</v>
      </c>
      <c r="C79" s="524"/>
      <c r="D79" s="524"/>
      <c r="E79" s="524"/>
    </row>
    <row r="80" spans="2:16" ht="15" customHeight="1">
      <c r="B80" s="523"/>
      <c r="C80" s="524"/>
      <c r="D80" s="524"/>
      <c r="E80" s="524"/>
    </row>
    <row r="81" spans="2:5" ht="30.6" customHeight="1">
      <c r="B81" s="1190" t="s">
        <v>603</v>
      </c>
      <c r="C81" s="1190"/>
      <c r="D81" s="1190"/>
      <c r="E81" s="1190"/>
    </row>
    <row r="83" spans="2:5" ht="15" customHeight="1"/>
    <row r="85" spans="2:5">
      <c r="B85" s="526"/>
      <c r="C85" s="1337"/>
      <c r="D85" s="1337"/>
      <c r="E85" s="1337"/>
    </row>
    <row r="86" spans="2:5">
      <c r="B86" s="526"/>
      <c r="C86" s="527"/>
      <c r="D86" s="527"/>
      <c r="E86" s="527"/>
    </row>
    <row r="87" spans="2:5">
      <c r="B87" s="526"/>
      <c r="C87" s="1335"/>
      <c r="D87" s="526"/>
      <c r="E87" s="526"/>
    </row>
    <row r="88" spans="2:5">
      <c r="B88" s="526"/>
      <c r="C88" s="1335"/>
      <c r="D88" s="526"/>
      <c r="E88" s="526"/>
    </row>
    <row r="89" spans="2:5">
      <c r="B89" s="526"/>
      <c r="C89" s="526"/>
      <c r="D89" s="526"/>
      <c r="E89" s="526"/>
    </row>
    <row r="90" spans="2:5">
      <c r="B90" s="526"/>
      <c r="C90" s="526"/>
      <c r="D90" s="526"/>
      <c r="E90" s="526"/>
    </row>
    <row r="91" spans="2:5">
      <c r="B91" s="1184"/>
      <c r="C91" s="1184"/>
      <c r="D91" s="1184"/>
      <c r="E91" s="1184"/>
    </row>
    <row r="92" spans="2:5">
      <c r="B92" s="1184"/>
      <c r="C92" s="1184"/>
      <c r="D92" s="1184"/>
      <c r="E92" s="1184"/>
    </row>
  </sheetData>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sqref="A1:XFD1048576"/>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88" t="s">
        <v>259</v>
      </c>
      <c r="B1" s="1288"/>
      <c r="C1" s="1288"/>
    </row>
    <row r="2" spans="1:21" s="141" customFormat="1" ht="21" customHeight="1" thickBot="1">
      <c r="A2" s="1288" t="s">
        <v>738</v>
      </c>
      <c r="B2" s="1288"/>
      <c r="C2" s="1288"/>
      <c r="D2" s="142"/>
      <c r="E2" s="142"/>
      <c r="F2" s="142"/>
      <c r="G2" s="142"/>
      <c r="H2" s="142"/>
      <c r="I2" s="142"/>
      <c r="J2" s="142"/>
      <c r="K2" s="142"/>
      <c r="L2" s="142"/>
      <c r="M2" s="142"/>
      <c r="N2" s="142"/>
      <c r="O2" s="142"/>
      <c r="P2" s="142"/>
      <c r="Q2" s="142"/>
      <c r="R2" s="142"/>
      <c r="S2" s="142"/>
      <c r="T2" s="142"/>
      <c r="U2" s="142"/>
    </row>
    <row r="3" spans="1:21" s="141" customFormat="1" ht="26.45" customHeight="1">
      <c r="A3" s="1351" t="s">
        <v>411</v>
      </c>
      <c r="B3" s="1352"/>
      <c r="C3" s="1353"/>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4" t="s">
        <v>415</v>
      </c>
      <c r="B7" s="1355"/>
      <c r="C7" s="1356"/>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4" t="s">
        <v>417</v>
      </c>
      <c r="B11" s="1355"/>
      <c r="C11" s="1356"/>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4" t="s">
        <v>423</v>
      </c>
      <c r="B17" s="1355"/>
      <c r="C17" s="1356"/>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4" t="s">
        <v>426</v>
      </c>
      <c r="B20" s="1355"/>
      <c r="C20" s="1356"/>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4" t="s">
        <v>427</v>
      </c>
      <c r="B23" s="1355"/>
      <c r="C23" s="1356"/>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4" t="s">
        <v>428</v>
      </c>
      <c r="B26" s="1355"/>
      <c r="C26" s="1356"/>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57" t="s">
        <v>641</v>
      </c>
      <c r="B30" s="1357"/>
      <c r="C30" s="1357"/>
    </row>
    <row r="31" spans="1:21" ht="14.45" customHeight="1"/>
    <row r="32" spans="1:21" ht="31.15" customHeight="1">
      <c r="A32" s="1357" t="s">
        <v>642</v>
      </c>
      <c r="B32" s="1357"/>
      <c r="C32" s="1357"/>
    </row>
    <row r="33" spans="1:3" ht="14.45" customHeight="1"/>
    <row r="34" spans="1:3" ht="30" customHeight="1">
      <c r="A34" s="1357" t="s">
        <v>643</v>
      </c>
      <c r="B34" s="1357"/>
      <c r="C34" s="1357"/>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K2" sqref="K2"/>
    </sheetView>
  </sheetViews>
  <sheetFormatPr defaultRowHeight="12.75"/>
  <sheetData>
    <row r="1" spans="1:10" ht="22.15" customHeight="1">
      <c r="A1" s="1260" t="s">
        <v>259</v>
      </c>
      <c r="B1" s="1260"/>
      <c r="C1" s="1260"/>
      <c r="D1" s="1260"/>
      <c r="E1" s="1260"/>
      <c r="F1" s="1260"/>
      <c r="G1" s="1260"/>
      <c r="H1" s="1260"/>
      <c r="I1" s="1260"/>
      <c r="J1" s="1260"/>
    </row>
    <row r="2" spans="1:10" s="321" customFormat="1" ht="22.15" customHeight="1">
      <c r="A2" s="1260" t="s">
        <v>750</v>
      </c>
      <c r="B2" s="1260"/>
      <c r="C2" s="1260"/>
      <c r="D2" s="1260"/>
      <c r="E2" s="1260"/>
      <c r="F2" s="1260"/>
      <c r="G2" s="1260"/>
      <c r="H2" s="1260"/>
      <c r="I2" s="1260"/>
      <c r="J2" s="1260"/>
    </row>
    <row r="3" spans="1:10" s="321" customFormat="1" ht="22.15" customHeight="1">
      <c r="A3" s="1260" t="s">
        <v>754</v>
      </c>
      <c r="B3" s="1260"/>
      <c r="C3" s="1260"/>
      <c r="D3" s="1260"/>
      <c r="E3" s="1260"/>
      <c r="F3" s="1260"/>
      <c r="G3" s="1260"/>
      <c r="H3" s="1260"/>
      <c r="I3" s="1260"/>
      <c r="J3" s="1260"/>
    </row>
    <row r="4" spans="1:10" ht="26.45" customHeight="1">
      <c r="A4" s="1261" t="s">
        <v>658</v>
      </c>
      <c r="B4" s="1261"/>
      <c r="C4" s="1261"/>
      <c r="D4" s="1261"/>
      <c r="E4" s="1261"/>
      <c r="F4" s="1261"/>
      <c r="G4" s="1261"/>
      <c r="H4" s="1261"/>
      <c r="I4" s="1261"/>
      <c r="J4" s="1261"/>
    </row>
    <row r="5" spans="1:10">
      <c r="A5" s="1262"/>
      <c r="B5" s="1262"/>
      <c r="C5" s="1262"/>
      <c r="D5" s="1262"/>
      <c r="E5" s="1262"/>
      <c r="F5" s="1262"/>
      <c r="G5" s="1262"/>
      <c r="H5" s="1262"/>
      <c r="I5" s="1262"/>
      <c r="J5" s="1262"/>
    </row>
    <row r="11" spans="1:10" ht="34.5">
      <c r="E11" s="82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_x000a__x000a_"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A46" zoomScale="60" zoomScaleNormal="60" workbookViewId="0">
      <selection activeCell="D138" sqref="D138"/>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51" t="s">
        <v>737</v>
      </c>
      <c r="B1" s="1251"/>
      <c r="C1" s="1251"/>
      <c r="D1" s="1251"/>
      <c r="E1" s="27"/>
      <c r="F1" s="28"/>
    </row>
    <row r="2" spans="1:10" ht="33.6" customHeight="1" thickBot="1">
      <c r="A2" s="1258" t="s">
        <v>752</v>
      </c>
      <c r="B2" s="1258"/>
      <c r="C2" s="1258"/>
      <c r="D2" s="1258"/>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25" t="s">
        <v>742</v>
      </c>
      <c r="C5" s="1226"/>
      <c r="D5" s="1227"/>
      <c r="F5" s="31"/>
    </row>
    <row r="6" spans="1:10" ht="88.9" customHeight="1" thickBot="1">
      <c r="A6" s="782" t="s">
        <v>602</v>
      </c>
      <c r="B6" s="108" t="s">
        <v>616</v>
      </c>
      <c r="C6" s="124" t="s">
        <v>625</v>
      </c>
      <c r="D6" s="123" t="s">
        <v>380</v>
      </c>
      <c r="E6" s="35"/>
      <c r="F6" s="31"/>
    </row>
    <row r="7" spans="1:10" ht="25.15" customHeight="1">
      <c r="A7" s="781" t="s">
        <v>678</v>
      </c>
      <c r="B7" s="916">
        <v>31522789</v>
      </c>
      <c r="C7" s="917">
        <v>10232170</v>
      </c>
      <c r="D7" s="135">
        <f t="shared" ref="D7:D34" si="0">SUM(B7:C7)</f>
        <v>41754959</v>
      </c>
      <c r="E7" s="818"/>
      <c r="F7" s="819"/>
      <c r="G7" s="77"/>
      <c r="I7" s="77"/>
      <c r="J7" s="77"/>
    </row>
    <row r="8" spans="1:10" ht="25.15" customHeight="1">
      <c r="A8" s="745" t="s">
        <v>679</v>
      </c>
      <c r="B8" s="918">
        <v>65641104</v>
      </c>
      <c r="C8" s="918">
        <v>20622026</v>
      </c>
      <c r="D8" s="121">
        <f t="shared" si="0"/>
        <v>86263130</v>
      </c>
      <c r="E8" s="789"/>
      <c r="F8" s="77"/>
      <c r="G8" s="77"/>
      <c r="I8" s="77"/>
      <c r="J8" s="77"/>
    </row>
    <row r="9" spans="1:10" ht="25.15" customHeight="1">
      <c r="A9" s="745" t="s">
        <v>704</v>
      </c>
      <c r="B9" s="918">
        <v>16681378</v>
      </c>
      <c r="C9" s="918">
        <v>5391826</v>
      </c>
      <c r="D9" s="121">
        <f t="shared" si="0"/>
        <v>22073204</v>
      </c>
      <c r="E9" s="789"/>
      <c r="F9" s="77"/>
      <c r="G9" s="77"/>
      <c r="I9" s="77"/>
      <c r="J9" s="77"/>
    </row>
    <row r="10" spans="1:10" ht="25.15" customHeight="1">
      <c r="A10" s="745" t="s">
        <v>680</v>
      </c>
      <c r="B10" s="918">
        <v>8158970</v>
      </c>
      <c r="C10" s="918">
        <v>3127662</v>
      </c>
      <c r="D10" s="121">
        <f t="shared" si="0"/>
        <v>11286632</v>
      </c>
      <c r="E10" s="789"/>
      <c r="F10" s="77"/>
      <c r="G10" s="77"/>
      <c r="I10" s="77"/>
      <c r="J10" s="77"/>
    </row>
    <row r="11" spans="1:10" ht="25.15" customHeight="1">
      <c r="A11" s="745" t="s">
        <v>681</v>
      </c>
      <c r="B11" s="918">
        <v>37651865</v>
      </c>
      <c r="C11" s="918">
        <v>12275578</v>
      </c>
      <c r="D11" s="121">
        <f t="shared" si="0"/>
        <v>49927443</v>
      </c>
      <c r="E11" s="789"/>
      <c r="F11" s="77"/>
      <c r="G11" s="77"/>
      <c r="I11" s="77"/>
      <c r="J11" s="77"/>
    </row>
    <row r="12" spans="1:10" ht="25.15" customHeight="1">
      <c r="A12" s="745" t="s">
        <v>741</v>
      </c>
      <c r="B12" s="918">
        <v>22840457</v>
      </c>
      <c r="C12" s="918">
        <v>7501101</v>
      </c>
      <c r="D12" s="121">
        <f t="shared" si="0"/>
        <v>30341558</v>
      </c>
      <c r="E12" s="789"/>
      <c r="F12" s="77"/>
      <c r="G12" s="77"/>
      <c r="I12" s="77"/>
      <c r="J12" s="77"/>
    </row>
    <row r="13" spans="1:10" ht="25.15" customHeight="1">
      <c r="A13" s="745" t="s">
        <v>682</v>
      </c>
      <c r="B13" s="918">
        <v>56046560</v>
      </c>
      <c r="C13" s="918">
        <v>18496050</v>
      </c>
      <c r="D13" s="121">
        <f t="shared" si="0"/>
        <v>74542610</v>
      </c>
      <c r="E13" s="789"/>
      <c r="F13" s="77"/>
      <c r="G13" s="77"/>
      <c r="I13" s="77"/>
      <c r="J13" s="77"/>
    </row>
    <row r="14" spans="1:10" ht="25.15" customHeight="1">
      <c r="A14" s="745" t="s">
        <v>683</v>
      </c>
      <c r="B14" s="918">
        <v>5459766</v>
      </c>
      <c r="C14" s="918">
        <v>1588216</v>
      </c>
      <c r="D14" s="121">
        <f t="shared" si="0"/>
        <v>7047982</v>
      </c>
      <c r="E14" s="789"/>
      <c r="F14" s="77"/>
      <c r="G14" s="77"/>
      <c r="I14" s="77"/>
      <c r="J14" s="77"/>
    </row>
    <row r="15" spans="1:10" ht="25.15" customHeight="1">
      <c r="A15" s="745" t="s">
        <v>684</v>
      </c>
      <c r="B15" s="918">
        <v>16245980</v>
      </c>
      <c r="C15" s="918">
        <v>5181278</v>
      </c>
      <c r="D15" s="121">
        <f t="shared" si="0"/>
        <v>21427258</v>
      </c>
      <c r="E15" s="789"/>
      <c r="F15" s="77"/>
      <c r="G15" s="77"/>
      <c r="I15" s="77"/>
      <c r="J15" s="77"/>
    </row>
    <row r="16" spans="1:10" ht="25.15" customHeight="1">
      <c r="A16" s="745" t="s">
        <v>685</v>
      </c>
      <c r="B16" s="918">
        <v>49772854</v>
      </c>
      <c r="C16" s="918">
        <v>14025504</v>
      </c>
      <c r="D16" s="121">
        <f t="shared" si="0"/>
        <v>63798358</v>
      </c>
      <c r="E16" s="789"/>
      <c r="F16" s="77"/>
      <c r="G16" s="77"/>
      <c r="I16" s="77"/>
      <c r="J16" s="77"/>
    </row>
    <row r="17" spans="1:10" ht="25.15" customHeight="1">
      <c r="A17" s="745" t="s">
        <v>686</v>
      </c>
      <c r="B17" s="918">
        <v>36692282</v>
      </c>
      <c r="C17" s="918">
        <v>11401395</v>
      </c>
      <c r="D17" s="121">
        <f t="shared" si="0"/>
        <v>48093677</v>
      </c>
      <c r="E17" s="789"/>
      <c r="F17" s="77"/>
      <c r="G17" s="77"/>
      <c r="I17" s="77"/>
      <c r="J17" s="77"/>
    </row>
    <row r="18" spans="1:10" ht="25.15" customHeight="1">
      <c r="A18" s="745" t="s">
        <v>687</v>
      </c>
      <c r="B18" s="918">
        <v>9799281</v>
      </c>
      <c r="C18" s="918">
        <v>3225782</v>
      </c>
      <c r="D18" s="121">
        <f t="shared" si="0"/>
        <v>13025063</v>
      </c>
      <c r="E18" s="789"/>
      <c r="F18" s="77"/>
      <c r="G18" s="77"/>
      <c r="I18" s="77"/>
      <c r="J18" s="77"/>
    </row>
    <row r="19" spans="1:10" ht="25.15" customHeight="1">
      <c r="A19" s="745" t="s">
        <v>688</v>
      </c>
      <c r="B19" s="918">
        <v>10730454</v>
      </c>
      <c r="C19" s="918">
        <v>3212033</v>
      </c>
      <c r="D19" s="121">
        <f t="shared" si="0"/>
        <v>13942487</v>
      </c>
      <c r="E19" s="789"/>
      <c r="F19" s="77"/>
      <c r="G19" s="77"/>
      <c r="I19" s="77"/>
      <c r="J19" s="77"/>
    </row>
    <row r="20" spans="1:10" ht="25.15" customHeight="1">
      <c r="A20" s="745" t="s">
        <v>689</v>
      </c>
      <c r="B20" s="918">
        <v>18362516</v>
      </c>
      <c r="C20" s="918">
        <v>5489440</v>
      </c>
      <c r="D20" s="121">
        <f t="shared" si="0"/>
        <v>23851956</v>
      </c>
      <c r="E20" s="789"/>
      <c r="F20" s="77"/>
      <c r="G20" s="77"/>
      <c r="I20" s="77"/>
      <c r="J20" s="77"/>
    </row>
    <row r="21" spans="1:10" ht="25.15" customHeight="1">
      <c r="A21" s="745" t="s">
        <v>690</v>
      </c>
      <c r="B21" s="918">
        <v>127972871</v>
      </c>
      <c r="C21" s="918">
        <v>41778819</v>
      </c>
      <c r="D21" s="121">
        <f t="shared" si="0"/>
        <v>169751690</v>
      </c>
      <c r="E21" s="789"/>
      <c r="F21" s="77"/>
      <c r="G21" s="77"/>
      <c r="I21" s="77"/>
      <c r="J21" s="77"/>
    </row>
    <row r="22" spans="1:10" ht="25.15" customHeight="1">
      <c r="A22" s="745" t="s">
        <v>691</v>
      </c>
      <c r="B22" s="918">
        <v>5726831</v>
      </c>
      <c r="C22" s="918">
        <v>1757976</v>
      </c>
      <c r="D22" s="121">
        <f t="shared" si="0"/>
        <v>7484807</v>
      </c>
      <c r="E22" s="789"/>
      <c r="F22" s="77"/>
      <c r="G22" s="77"/>
      <c r="I22" s="77"/>
      <c r="J22" s="77"/>
    </row>
    <row r="23" spans="1:10" ht="25.15" customHeight="1">
      <c r="A23" s="745" t="s">
        <v>692</v>
      </c>
      <c r="B23" s="918">
        <v>13975274</v>
      </c>
      <c r="C23" s="918">
        <v>4597532</v>
      </c>
      <c r="D23" s="121">
        <f t="shared" si="0"/>
        <v>18572806</v>
      </c>
      <c r="E23" s="789"/>
      <c r="F23" s="77"/>
      <c r="G23" s="77"/>
      <c r="I23" s="77"/>
      <c r="J23" s="77"/>
    </row>
    <row r="24" spans="1:10" ht="25.15" customHeight="1">
      <c r="A24" s="745" t="s">
        <v>693</v>
      </c>
      <c r="B24" s="918">
        <v>44673856</v>
      </c>
      <c r="C24" s="918">
        <v>13659363</v>
      </c>
      <c r="D24" s="121">
        <f t="shared" si="0"/>
        <v>58333219</v>
      </c>
      <c r="E24" s="789"/>
      <c r="F24" s="77"/>
      <c r="G24" s="77"/>
      <c r="I24" s="77"/>
      <c r="J24" s="77"/>
    </row>
    <row r="25" spans="1:10" ht="25.15" customHeight="1">
      <c r="A25" s="745" t="s">
        <v>694</v>
      </c>
      <c r="B25" s="918">
        <v>23347161</v>
      </c>
      <c r="C25" s="918">
        <v>6658823</v>
      </c>
      <c r="D25" s="121">
        <f t="shared" si="0"/>
        <v>30005984</v>
      </c>
      <c r="E25" s="789"/>
      <c r="F25" s="77"/>
      <c r="G25" s="77"/>
      <c r="I25" s="77"/>
      <c r="J25" s="77"/>
    </row>
    <row r="26" spans="1:10" ht="25.15" customHeight="1">
      <c r="A26" s="745" t="s">
        <v>695</v>
      </c>
      <c r="B26" s="918">
        <v>26398672</v>
      </c>
      <c r="C26" s="918">
        <v>8356700</v>
      </c>
      <c r="D26" s="121">
        <f t="shared" si="0"/>
        <v>34755372</v>
      </c>
      <c r="E26" s="789"/>
      <c r="F26" s="77"/>
      <c r="G26" s="77"/>
      <c r="I26" s="77"/>
      <c r="J26" s="77"/>
    </row>
    <row r="27" spans="1:10" ht="25.15" customHeight="1">
      <c r="A27" s="745" t="s">
        <v>696</v>
      </c>
      <c r="B27" s="918">
        <v>22768757</v>
      </c>
      <c r="C27" s="918">
        <v>6575505</v>
      </c>
      <c r="D27" s="121">
        <f t="shared" si="0"/>
        <v>29344262</v>
      </c>
      <c r="E27" s="789"/>
      <c r="F27" s="77"/>
      <c r="G27" s="77"/>
      <c r="I27" s="77"/>
      <c r="J27" s="77"/>
    </row>
    <row r="28" spans="1:10" ht="25.15" customHeight="1">
      <c r="A28" s="745" t="s">
        <v>697</v>
      </c>
      <c r="B28" s="918">
        <v>17467946</v>
      </c>
      <c r="C28" s="918">
        <v>4316680</v>
      </c>
      <c r="D28" s="121">
        <f t="shared" si="0"/>
        <v>21784626</v>
      </c>
      <c r="E28" s="789"/>
      <c r="F28" s="77"/>
      <c r="G28" s="77"/>
      <c r="I28" s="77"/>
      <c r="J28" s="77"/>
    </row>
    <row r="29" spans="1:10" ht="25.15" customHeight="1">
      <c r="A29" s="745" t="s">
        <v>698</v>
      </c>
      <c r="B29" s="918">
        <v>51475042</v>
      </c>
      <c r="C29" s="918">
        <v>16598793</v>
      </c>
      <c r="D29" s="121">
        <f t="shared" si="0"/>
        <v>68073835</v>
      </c>
      <c r="E29" s="789"/>
      <c r="F29" s="77"/>
      <c r="G29" s="77"/>
      <c r="I29" s="77"/>
      <c r="J29" s="77"/>
    </row>
    <row r="30" spans="1:10" ht="25.15" customHeight="1">
      <c r="A30" s="745" t="s">
        <v>699</v>
      </c>
      <c r="B30" s="918">
        <v>32866930</v>
      </c>
      <c r="C30" s="918">
        <v>8809774</v>
      </c>
      <c r="D30" s="121">
        <f t="shared" si="0"/>
        <v>41676704</v>
      </c>
      <c r="E30" s="789"/>
      <c r="F30" s="77"/>
      <c r="G30" s="77"/>
      <c r="I30" s="77"/>
      <c r="J30" s="77"/>
    </row>
    <row r="31" spans="1:10" ht="25.15" customHeight="1">
      <c r="A31" s="745" t="s">
        <v>700</v>
      </c>
      <c r="B31" s="918">
        <v>33220322</v>
      </c>
      <c r="C31" s="918">
        <v>9341161</v>
      </c>
      <c r="D31" s="121">
        <f t="shared" si="0"/>
        <v>42561483</v>
      </c>
      <c r="E31" s="789"/>
      <c r="F31" s="77"/>
      <c r="G31" s="77"/>
      <c r="I31" s="77"/>
      <c r="J31" s="77"/>
    </row>
    <row r="32" spans="1:10" ht="25.15" customHeight="1">
      <c r="A32" s="745" t="s">
        <v>701</v>
      </c>
      <c r="B32" s="918">
        <v>12162902</v>
      </c>
      <c r="C32" s="918">
        <v>3803945</v>
      </c>
      <c r="D32" s="121">
        <f t="shared" si="0"/>
        <v>15966847</v>
      </c>
      <c r="E32" s="789"/>
      <c r="F32" s="77"/>
      <c r="G32" s="77"/>
      <c r="I32" s="77" t="s">
        <v>626</v>
      </c>
      <c r="J32" s="77"/>
    </row>
    <row r="33" spans="1:21" ht="25.15" customHeight="1">
      <c r="A33" s="745" t="s">
        <v>702</v>
      </c>
      <c r="B33" s="918">
        <v>23569582</v>
      </c>
      <c r="C33" s="918">
        <v>7596608</v>
      </c>
      <c r="D33" s="121">
        <f t="shared" si="0"/>
        <v>31166190</v>
      </c>
      <c r="E33" s="789"/>
      <c r="F33" s="77"/>
      <c r="G33" s="77"/>
      <c r="I33" s="789"/>
      <c r="J33" s="77"/>
      <c r="K33" s="789"/>
    </row>
    <row r="34" spans="1:21" ht="25.15" customHeight="1" thickBot="1">
      <c r="A34" s="746" t="s">
        <v>703</v>
      </c>
      <c r="B34" s="918">
        <v>63600264</v>
      </c>
      <c r="C34" s="918">
        <v>16553415</v>
      </c>
      <c r="D34" s="122">
        <f t="shared" si="0"/>
        <v>80153679</v>
      </c>
      <c r="E34" s="789"/>
      <c r="F34" s="77"/>
      <c r="G34" s="77"/>
      <c r="I34" s="789"/>
      <c r="J34" s="77"/>
      <c r="K34" s="789"/>
    </row>
    <row r="35" spans="1:21" ht="25.15" customHeight="1" thickBot="1">
      <c r="A35" s="747" t="s">
        <v>2</v>
      </c>
      <c r="B35" s="814">
        <f>SUM(B7:B34)</f>
        <v>884832666</v>
      </c>
      <c r="C35" s="815">
        <f>SUM(C7:C34)</f>
        <v>272175155</v>
      </c>
      <c r="D35" s="775">
        <f>SUM(D7:D34)</f>
        <v>1157007821</v>
      </c>
      <c r="E35" s="816"/>
      <c r="F35" s="78"/>
      <c r="G35" s="77"/>
      <c r="H35" s="77"/>
      <c r="I35" s="789"/>
      <c r="J35" s="77"/>
      <c r="K35" s="789"/>
      <c r="L35" s="790"/>
    </row>
    <row r="36" spans="1:21" ht="19.149999999999999" customHeight="1">
      <c r="A36" s="1250" t="s">
        <v>767</v>
      </c>
      <c r="B36" s="1250"/>
      <c r="C36" s="1250"/>
      <c r="D36" s="1250"/>
      <c r="E36" s="938"/>
      <c r="F36" s="33"/>
      <c r="K36" s="789"/>
    </row>
    <row r="37" spans="1:21" ht="44.45" customHeight="1">
      <c r="A37" s="1249" t="s">
        <v>766</v>
      </c>
      <c r="B37" s="1249"/>
      <c r="C37" s="1249"/>
      <c r="D37" s="1249"/>
      <c r="E37" s="937"/>
      <c r="F37" s="33"/>
      <c r="K37" s="789"/>
    </row>
    <row r="38" spans="1:21" ht="26.45" customHeight="1">
      <c r="A38" s="934"/>
      <c r="B38" s="934"/>
      <c r="C38" s="934"/>
      <c r="D38" s="934"/>
      <c r="E38" s="937"/>
      <c r="F38" s="33"/>
      <c r="K38" s="789"/>
    </row>
    <row r="39" spans="1:21" ht="36.6" customHeight="1" thickBot="1">
      <c r="A39" s="914" t="s">
        <v>752</v>
      </c>
      <c r="B39" s="915"/>
      <c r="C39" s="915"/>
      <c r="D39" s="37"/>
      <c r="E39" s="28"/>
      <c r="F39" s="28"/>
      <c r="G39" s="33"/>
      <c r="H39" s="33"/>
      <c r="I39" s="33"/>
      <c r="J39" s="33"/>
      <c r="K39" s="302"/>
      <c r="L39" s="33"/>
      <c r="M39" s="33"/>
      <c r="N39" s="33"/>
      <c r="O39" s="33"/>
      <c r="P39" s="33"/>
      <c r="Q39" s="33"/>
      <c r="R39" s="33"/>
      <c r="S39" s="33"/>
      <c r="T39" s="33"/>
      <c r="U39" s="33"/>
    </row>
    <row r="40" spans="1:21" ht="24" customHeight="1" thickBot="1">
      <c r="A40" s="34" t="s">
        <v>743</v>
      </c>
      <c r="B40" s="1236" t="str">
        <f>B3</f>
        <v>Date Updated:   04.13.18;    BY:  SWG</v>
      </c>
      <c r="C40" s="1237"/>
      <c r="D40" s="1237"/>
      <c r="E40" s="1238"/>
      <c r="I40" s="33"/>
      <c r="J40" s="33"/>
      <c r="K40" s="302"/>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8" t="s">
        <v>222</v>
      </c>
      <c r="G42" s="35"/>
    </row>
    <row r="43" spans="1:21" ht="42">
      <c r="A43" s="922" t="str">
        <f>A10</f>
        <v>Chipola College</v>
      </c>
      <c r="B43" s="923" t="s">
        <v>707</v>
      </c>
      <c r="C43" s="924">
        <v>200000</v>
      </c>
      <c r="D43" s="924"/>
      <c r="E43" s="749">
        <f t="shared" ref="E43:E56" si="1">C43+D43</f>
        <v>200000</v>
      </c>
    </row>
    <row r="44" spans="1:21" ht="42">
      <c r="A44" s="925" t="str">
        <f>A11</f>
        <v>Daytona State College</v>
      </c>
      <c r="B44" s="926" t="s">
        <v>713</v>
      </c>
      <c r="C44" s="924">
        <v>500000</v>
      </c>
      <c r="D44" s="924"/>
      <c r="E44" s="749">
        <f t="shared" si="1"/>
        <v>500000</v>
      </c>
      <c r="H44" s="33"/>
    </row>
    <row r="45" spans="1:21" ht="43.15" customHeight="1">
      <c r="A45" s="927" t="s">
        <v>681</v>
      </c>
      <c r="B45" s="926" t="s">
        <v>758</v>
      </c>
      <c r="C45" s="924"/>
      <c r="D45" s="924">
        <v>1000000</v>
      </c>
      <c r="E45" s="749">
        <f t="shared" si="1"/>
        <v>1000000</v>
      </c>
      <c r="H45" s="33"/>
    </row>
    <row r="46" spans="1:21" ht="44.45" customHeight="1">
      <c r="A46" s="927" t="s">
        <v>681</v>
      </c>
      <c r="B46" s="926" t="s">
        <v>759</v>
      </c>
      <c r="C46" s="924"/>
      <c r="D46" s="924">
        <v>350000</v>
      </c>
      <c r="E46" s="749">
        <f t="shared" si="1"/>
        <v>350000</v>
      </c>
      <c r="H46" s="33"/>
    </row>
    <row r="47" spans="1:21" ht="45.6" customHeight="1">
      <c r="A47" s="927" t="s">
        <v>683</v>
      </c>
      <c r="B47" s="926" t="s">
        <v>760</v>
      </c>
      <c r="C47" s="924"/>
      <c r="D47" s="924">
        <v>250000</v>
      </c>
      <c r="E47" s="749">
        <f t="shared" ref="E47" si="2">C47+D47</f>
        <v>250000</v>
      </c>
      <c r="H47" s="33"/>
    </row>
    <row r="48" spans="1:21" ht="62.45" customHeight="1">
      <c r="A48" s="927" t="s">
        <v>685</v>
      </c>
      <c r="B48" s="926" t="s">
        <v>708</v>
      </c>
      <c r="C48" s="924">
        <v>2500000</v>
      </c>
      <c r="D48" s="924"/>
      <c r="E48" s="749">
        <f t="shared" si="1"/>
        <v>2500000</v>
      </c>
      <c r="H48" s="33"/>
    </row>
    <row r="49" spans="1:8" ht="62.45" customHeight="1">
      <c r="A49" s="927" t="s">
        <v>761</v>
      </c>
      <c r="B49" s="926" t="s">
        <v>762</v>
      </c>
      <c r="C49" s="924"/>
      <c r="D49" s="924">
        <v>250000</v>
      </c>
      <c r="E49" s="749">
        <f t="shared" si="1"/>
        <v>250000</v>
      </c>
      <c r="H49" s="33"/>
    </row>
    <row r="50" spans="1:8" ht="43.15" customHeight="1">
      <c r="A50" s="927" t="s">
        <v>690</v>
      </c>
      <c r="B50" s="926" t="s">
        <v>763</v>
      </c>
      <c r="C50" s="924"/>
      <c r="D50" s="924">
        <v>700000</v>
      </c>
      <c r="E50" s="749">
        <f t="shared" si="1"/>
        <v>700000</v>
      </c>
      <c r="H50" s="33"/>
    </row>
    <row r="51" spans="1:8">
      <c r="A51" s="927" t="str">
        <f>A25</f>
        <v>Pasco-Hernando State College</v>
      </c>
      <c r="B51" s="926" t="s">
        <v>709</v>
      </c>
      <c r="C51" s="924">
        <v>2306271</v>
      </c>
      <c r="D51" s="924"/>
      <c r="E51" s="749">
        <f t="shared" si="1"/>
        <v>2306271</v>
      </c>
      <c r="H51" s="33"/>
    </row>
    <row r="52" spans="1:8" ht="63">
      <c r="A52" s="928" t="s">
        <v>696</v>
      </c>
      <c r="B52" s="929" t="s">
        <v>765</v>
      </c>
      <c r="C52" s="930">
        <v>2540288</v>
      </c>
      <c r="D52" s="930"/>
      <c r="E52" s="749">
        <f t="shared" si="1"/>
        <v>2540288</v>
      </c>
      <c r="H52" s="33"/>
    </row>
    <row r="53" spans="1:8">
      <c r="A53" s="928" t="str">
        <f>A29</f>
        <v>St. Petersburg College</v>
      </c>
      <c r="B53" s="929" t="s">
        <v>710</v>
      </c>
      <c r="C53" s="930">
        <v>650000</v>
      </c>
      <c r="D53" s="930"/>
      <c r="E53" s="788">
        <f t="shared" si="1"/>
        <v>650000</v>
      </c>
      <c r="H53" s="33"/>
    </row>
    <row r="54" spans="1:8" ht="42">
      <c r="A54" s="931" t="str">
        <f>A53</f>
        <v>St. Petersburg College</v>
      </c>
      <c r="B54" s="926" t="s">
        <v>711</v>
      </c>
      <c r="C54" s="924">
        <v>615000</v>
      </c>
      <c r="D54" s="924"/>
      <c r="E54" s="749">
        <f t="shared" si="1"/>
        <v>615000</v>
      </c>
      <c r="H54" s="33"/>
    </row>
    <row r="55" spans="1:8" ht="62.45" customHeight="1">
      <c r="A55" s="931" t="str">
        <f>A32</f>
        <v>South Florida State College</v>
      </c>
      <c r="B55" s="926" t="s">
        <v>714</v>
      </c>
      <c r="C55" s="924">
        <v>126525</v>
      </c>
      <c r="D55" s="924"/>
      <c r="E55" s="749">
        <f t="shared" si="1"/>
        <v>126525</v>
      </c>
      <c r="H55" s="33"/>
    </row>
    <row r="56" spans="1:8" ht="25.9" customHeight="1" thickBot="1">
      <c r="A56" s="931" t="s">
        <v>701</v>
      </c>
      <c r="B56" s="935" t="s">
        <v>764</v>
      </c>
      <c r="C56" s="936"/>
      <c r="D56" s="936">
        <v>500000</v>
      </c>
      <c r="E56" s="749">
        <f t="shared" si="1"/>
        <v>500000</v>
      </c>
      <c r="H56" s="33"/>
    </row>
    <row r="57" spans="1:8" ht="24.6" customHeight="1" thickBot="1">
      <c r="A57" s="112" t="s">
        <v>222</v>
      </c>
      <c r="B57" s="744"/>
      <c r="C57" s="812">
        <f>SUM(C43:C56)</f>
        <v>9438084</v>
      </c>
      <c r="D57" s="812">
        <f>SUM(D43:D56)</f>
        <v>3050000</v>
      </c>
      <c r="E57" s="813">
        <f>SUM(E43:E56)</f>
        <v>12488084</v>
      </c>
      <c r="H57" s="33"/>
    </row>
    <row r="58" spans="1:8" ht="25.15" customHeight="1">
      <c r="A58" s="29" t="s">
        <v>705</v>
      </c>
      <c r="H58" s="33"/>
    </row>
    <row r="59" spans="1:8" ht="25.15" customHeight="1">
      <c r="D59" s="77"/>
      <c r="H59" s="33"/>
    </row>
    <row r="60" spans="1:8" ht="30.6" customHeight="1" thickBot="1">
      <c r="A60" s="914" t="s">
        <v>752</v>
      </c>
      <c r="B60" s="915"/>
      <c r="C60" s="915"/>
      <c r="D60" s="37"/>
      <c r="E60" s="28"/>
      <c r="H60" s="33"/>
    </row>
    <row r="61" spans="1:8" ht="40.9" customHeight="1" thickBot="1">
      <c r="A61" s="74" t="s">
        <v>731</v>
      </c>
      <c r="B61" s="750" t="str">
        <f>B3</f>
        <v>Date Updated:   04.13.18;    BY:  SWG</v>
      </c>
      <c r="C61" s="71"/>
      <c r="D61" s="71"/>
      <c r="F61" s="33"/>
      <c r="G61" s="33"/>
      <c r="H61" s="33"/>
    </row>
    <row r="62" spans="1:8" ht="45" customHeight="1" thickBot="1">
      <c r="A62" s="1241" t="s">
        <v>624</v>
      </c>
      <c r="B62" s="1242"/>
      <c r="C62" s="751"/>
      <c r="H62" s="33"/>
    </row>
    <row r="63" spans="1:8" ht="37.15" customHeight="1" thickBot="1">
      <c r="A63" s="695" t="s">
        <v>602</v>
      </c>
      <c r="B63" s="877" t="s">
        <v>2</v>
      </c>
      <c r="C63" s="35"/>
      <c r="D63" s="38"/>
      <c r="H63" s="33"/>
    </row>
    <row r="64" spans="1:8" ht="25.15" customHeight="1">
      <c r="A64" s="783" t="str">
        <f>A11</f>
        <v>Daytona State College</v>
      </c>
      <c r="B64" s="919">
        <v>70000</v>
      </c>
      <c r="C64" s="752"/>
      <c r="H64" s="33"/>
    </row>
    <row r="65" spans="1:13" ht="25.15" customHeight="1" thickBot="1">
      <c r="A65" s="787" t="str">
        <f>A33</f>
        <v>Tallahassee Community College</v>
      </c>
      <c r="B65" s="920">
        <v>25000</v>
      </c>
      <c r="C65" s="752"/>
      <c r="H65" s="33"/>
    </row>
    <row r="66" spans="1:13" ht="25.15" customHeight="1" thickBot="1">
      <c r="A66" s="736" t="s">
        <v>2</v>
      </c>
      <c r="B66" s="921">
        <f>SUM(B64:B65)</f>
        <v>95000</v>
      </c>
      <c r="C66" s="753"/>
    </row>
    <row r="67" spans="1:13" ht="24.6" customHeight="1">
      <c r="A67" s="940"/>
      <c r="B67" s="939"/>
      <c r="C67" s="939"/>
      <c r="D67" s="33"/>
      <c r="E67" s="33"/>
      <c r="F67" s="33"/>
      <c r="G67" s="28"/>
      <c r="H67" s="33"/>
    </row>
    <row r="68" spans="1:13" ht="31.9" customHeight="1" thickBot="1">
      <c r="A68" s="914" t="s">
        <v>768</v>
      </c>
      <c r="B68" s="915"/>
      <c r="C68" s="915"/>
      <c r="D68" s="37"/>
      <c r="E68" s="28"/>
      <c r="F68" s="33"/>
      <c r="G68" s="28"/>
      <c r="H68" s="33"/>
    </row>
    <row r="69" spans="1:13" ht="44.45" customHeight="1" thickBot="1">
      <c r="A69" s="39" t="s">
        <v>744</v>
      </c>
      <c r="B69" s="1245" t="str">
        <f>B3</f>
        <v>Date Updated:   04.13.18;    BY:  SWG</v>
      </c>
      <c r="C69" s="1246"/>
      <c r="D69" s="1247"/>
      <c r="E69" s="1248"/>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1">
        <v>23638260.976129081</v>
      </c>
      <c r="C71" s="791">
        <f t="shared" ref="C71:C98" si="4">B71*0.05</f>
        <v>1181913.0488064541</v>
      </c>
      <c r="D71" s="792">
        <f t="shared" ref="D71:D98" si="5">IF(C71&gt;500000,0,1)</f>
        <v>0</v>
      </c>
      <c r="E71" s="792">
        <f t="shared" ref="E71:E98" si="6">IF(D71&lt;1,0,B71*0.02)</f>
        <v>0</v>
      </c>
      <c r="F71" s="791">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29" t="str">
        <f t="shared" si="3"/>
        <v>Chipola College</v>
      </c>
      <c r="B74" s="730">
        <v>2907528.7498592394</v>
      </c>
      <c r="C74" s="730">
        <f t="shared" si="4"/>
        <v>145376.43749296197</v>
      </c>
      <c r="D74" s="730">
        <f t="shared" si="5"/>
        <v>1</v>
      </c>
      <c r="E74" s="730">
        <f t="shared" si="6"/>
        <v>58150.574997184791</v>
      </c>
      <c r="F74" s="730">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29" t="str">
        <f t="shared" si="3"/>
        <v>Florida Keys Community College</v>
      </c>
      <c r="B78" s="730">
        <v>2200292.3947656481</v>
      </c>
      <c r="C78" s="730">
        <f t="shared" si="4"/>
        <v>110014.6197382824</v>
      </c>
      <c r="D78" s="730">
        <f t="shared" si="5"/>
        <v>1</v>
      </c>
      <c r="E78" s="730">
        <f t="shared" si="6"/>
        <v>44005.84789531296</v>
      </c>
      <c r="F78" s="730">
        <f t="shared" si="7"/>
        <v>154020.46763359537</v>
      </c>
    </row>
    <row r="79" spans="1:13" ht="25.15" customHeight="1">
      <c r="A79" s="729" t="str">
        <f t="shared" si="3"/>
        <v>Gulf Coast State College</v>
      </c>
      <c r="B79" s="730">
        <v>7753712.6232903171</v>
      </c>
      <c r="C79" s="730">
        <f t="shared" si="4"/>
        <v>387685.63116451586</v>
      </c>
      <c r="D79" s="730">
        <f t="shared" si="5"/>
        <v>1</v>
      </c>
      <c r="E79" s="730">
        <f t="shared" si="6"/>
        <v>155074.25246580635</v>
      </c>
      <c r="F79" s="730">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29" t="str">
        <f t="shared" si="3"/>
        <v>Florida Gateway College</v>
      </c>
      <c r="B82" s="730">
        <v>4308620.7705288203</v>
      </c>
      <c r="C82" s="730">
        <f t="shared" si="4"/>
        <v>215431.03852644103</v>
      </c>
      <c r="D82" s="730">
        <f t="shared" si="5"/>
        <v>1</v>
      </c>
      <c r="E82" s="730">
        <f t="shared" si="6"/>
        <v>86172.415410576403</v>
      </c>
      <c r="F82" s="730">
        <f t="shared" si="7"/>
        <v>301603.45393701742</v>
      </c>
    </row>
    <row r="83" spans="1:6" ht="25.15" customHeight="1">
      <c r="A83" s="729" t="str">
        <f t="shared" si="3"/>
        <v>Lake-Sumter State College</v>
      </c>
      <c r="B83" s="730">
        <v>6656098.6657396099</v>
      </c>
      <c r="C83" s="730">
        <f t="shared" si="4"/>
        <v>332804.93328698049</v>
      </c>
      <c r="D83" s="730">
        <f t="shared" si="5"/>
        <v>1</v>
      </c>
      <c r="E83" s="730">
        <f t="shared" si="6"/>
        <v>133121.97331479221</v>
      </c>
      <c r="F83" s="730">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29" t="str">
        <f t="shared" si="3"/>
        <v>North Florida Community College</v>
      </c>
      <c r="B86" s="730">
        <v>1638480.3632627467</v>
      </c>
      <c r="C86" s="730">
        <f t="shared" si="4"/>
        <v>81924.018163137342</v>
      </c>
      <c r="D86" s="730">
        <f t="shared" si="5"/>
        <v>1</v>
      </c>
      <c r="E86" s="730">
        <f t="shared" si="6"/>
        <v>32769.607265254934</v>
      </c>
      <c r="F86" s="730">
        <f t="shared" si="7"/>
        <v>114693.62542839228</v>
      </c>
    </row>
    <row r="87" spans="1:6" ht="25.15" customHeight="1">
      <c r="A87" s="729" t="str">
        <f t="shared" si="3"/>
        <v>Northwest Florida State College</v>
      </c>
      <c r="B87" s="730">
        <v>8745480.662638206</v>
      </c>
      <c r="C87" s="730">
        <f t="shared" si="4"/>
        <v>437274.03313191031</v>
      </c>
      <c r="D87" s="730">
        <f t="shared" si="5"/>
        <v>1</v>
      </c>
      <c r="E87" s="730">
        <f t="shared" si="6"/>
        <v>174909.61325276413</v>
      </c>
      <c r="F87" s="730">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29" t="str">
        <f t="shared" si="3"/>
        <v>St. Johns River State College</v>
      </c>
      <c r="B92" s="730">
        <v>9191984.2305891309</v>
      </c>
      <c r="C92" s="730">
        <f t="shared" si="4"/>
        <v>459599.21152945654</v>
      </c>
      <c r="D92" s="730">
        <f t="shared" si="5"/>
        <v>1</v>
      </c>
      <c r="E92" s="730">
        <f t="shared" si="6"/>
        <v>183839.68461178264</v>
      </c>
      <c r="F92" s="730">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29" t="str">
        <f t="shared" si="3"/>
        <v>South Florida State College</v>
      </c>
      <c r="B96" s="730">
        <v>4051007.0213258136</v>
      </c>
      <c r="C96" s="730">
        <f t="shared" si="4"/>
        <v>202550.35106629069</v>
      </c>
      <c r="D96" s="730">
        <f t="shared" si="5"/>
        <v>1</v>
      </c>
      <c r="E96" s="730">
        <f t="shared" si="6"/>
        <v>81020.140426516271</v>
      </c>
      <c r="F96" s="730">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1">
        <v>88982172.505583376</v>
      </c>
      <c r="C98" s="47">
        <f t="shared" si="4"/>
        <v>4449108.6252791686</v>
      </c>
      <c r="D98" s="47">
        <f t="shared" si="5"/>
        <v>0</v>
      </c>
      <c r="E98" s="47">
        <f t="shared" si="6"/>
        <v>0</v>
      </c>
      <c r="F98" s="47">
        <f t="shared" si="7"/>
        <v>4449108.6252791686</v>
      </c>
    </row>
    <row r="99" spans="1:54" ht="25.15" customHeight="1" thickBot="1">
      <c r="A99" s="112" t="s">
        <v>2</v>
      </c>
      <c r="B99" s="793">
        <f>SUM(B71:B98)</f>
        <v>792027437.28947937</v>
      </c>
      <c r="C99" s="793">
        <f>SUM(C71:C98)</f>
        <v>39601371.864473961</v>
      </c>
      <c r="D99" s="113">
        <f>SUM(D71:D98)</f>
        <v>9</v>
      </c>
      <c r="E99" s="793">
        <f>SUM(E71:E98)</f>
        <v>949064.10963999073</v>
      </c>
      <c r="F99" s="794">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59" t="s">
        <v>780</v>
      </c>
      <c r="B102" s="1259"/>
      <c r="C102" s="1259"/>
      <c r="D102" s="1259"/>
      <c r="E102" s="1259"/>
      <c r="F102" s="1259"/>
      <c r="G102" s="1259"/>
      <c r="H102" s="1259"/>
      <c r="I102" s="1259"/>
      <c r="J102" s="1259"/>
      <c r="K102" s="1259"/>
      <c r="L102" s="1259"/>
      <c r="M102" s="1259"/>
      <c r="N102" s="1259"/>
      <c r="O102" s="1259"/>
      <c r="P102" s="1259"/>
      <c r="Q102" s="1259"/>
      <c r="R102" s="1259"/>
    </row>
    <row r="103" spans="1:54" ht="19.899999999999999" customHeight="1">
      <c r="A103" s="1257" t="s">
        <v>757</v>
      </c>
      <c r="B103" s="1257"/>
      <c r="C103" s="1257"/>
      <c r="D103" s="1257"/>
      <c r="E103" s="1257"/>
      <c r="F103" s="1257"/>
      <c r="G103" s="1257"/>
      <c r="H103" s="1257"/>
      <c r="I103" s="1257"/>
      <c r="J103" s="1257"/>
      <c r="K103" s="1257"/>
      <c r="L103" s="1257"/>
      <c r="M103" s="1257"/>
      <c r="N103" s="1257"/>
      <c r="O103" s="1257"/>
      <c r="P103" s="1257"/>
      <c r="Q103" s="1257"/>
      <c r="R103" s="1257"/>
      <c r="S103" s="933"/>
    </row>
    <row r="104" spans="1:54" ht="19.899999999999999" customHeight="1">
      <c r="A104" s="879" t="s">
        <v>781</v>
      </c>
      <c r="B104" s="879"/>
      <c r="C104" s="879"/>
      <c r="D104" s="879"/>
      <c r="E104" s="879"/>
      <c r="F104" s="879"/>
      <c r="G104" s="879"/>
      <c r="H104" s="879"/>
      <c r="I104" s="879"/>
      <c r="J104" s="879"/>
      <c r="K104" s="879"/>
      <c r="L104" s="879"/>
      <c r="M104" s="879"/>
      <c r="N104" s="879"/>
      <c r="O104" s="879"/>
      <c r="P104" s="879"/>
      <c r="Q104" s="879"/>
      <c r="R104" s="879"/>
    </row>
    <row r="105" spans="1:54" ht="19.899999999999999" customHeight="1">
      <c r="A105" s="1257" t="s">
        <v>611</v>
      </c>
      <c r="B105" s="1257"/>
      <c r="C105" s="1257"/>
      <c r="D105" s="1257"/>
      <c r="E105" s="1257"/>
      <c r="F105" s="1257"/>
      <c r="G105" s="1257"/>
      <c r="H105" s="1257"/>
      <c r="I105" s="1257"/>
      <c r="J105" s="1257"/>
      <c r="K105" s="1257"/>
      <c r="L105" s="1257"/>
      <c r="M105" s="1257"/>
      <c r="N105" s="1257"/>
      <c r="O105" s="1257"/>
      <c r="P105" s="1257"/>
      <c r="Q105" s="1257"/>
      <c r="R105" s="1257"/>
    </row>
    <row r="106" spans="1:54" ht="19.899999999999999" customHeight="1">
      <c r="A106" s="1257"/>
      <c r="B106" s="1257"/>
      <c r="C106" s="1257"/>
      <c r="D106" s="1257"/>
      <c r="E106" s="1257"/>
      <c r="F106" s="1257"/>
      <c r="G106" s="1257"/>
    </row>
    <row r="107" spans="1:54" ht="32.450000000000003" customHeight="1" thickBot="1">
      <c r="E107" s="913"/>
      <c r="F107" s="913"/>
      <c r="G107" s="913"/>
      <c r="H107" s="37"/>
      <c r="I107" s="37"/>
      <c r="J107" s="37"/>
      <c r="K107" s="37"/>
    </row>
    <row r="108" spans="1:54" ht="43.15" customHeight="1" thickBot="1">
      <c r="A108" s="76" t="s">
        <v>782</v>
      </c>
      <c r="B108" s="1252" t="s">
        <v>778</v>
      </c>
      <c r="C108" s="1253"/>
      <c r="D108" s="1254"/>
      <c r="E108" s="1255" t="s">
        <v>266</v>
      </c>
      <c r="F108" s="1255"/>
      <c r="G108" s="1255"/>
      <c r="H108" s="1255"/>
      <c r="I108" s="1255"/>
      <c r="J108" s="1255"/>
      <c r="K108" s="1255"/>
      <c r="L108" s="1255"/>
      <c r="M108" s="1255"/>
      <c r="N108" s="1255"/>
      <c r="O108" s="1255"/>
      <c r="P108" s="1255"/>
      <c r="Q108" s="1255"/>
      <c r="R108" s="1255"/>
      <c r="S108" s="1256"/>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39" t="s">
        <v>528</v>
      </c>
      <c r="U109" s="52"/>
      <c r="V109" s="73">
        <v>20</v>
      </c>
      <c r="W109" s="126">
        <v>21</v>
      </c>
      <c r="X109" s="126">
        <v>22</v>
      </c>
      <c r="Y109" s="105"/>
      <c r="Z109" s="126">
        <v>23</v>
      </c>
      <c r="AA109" s="126">
        <v>24</v>
      </c>
      <c r="AB109" s="127">
        <v>25</v>
      </c>
      <c r="AC109" s="54"/>
      <c r="AD109" s="50"/>
    </row>
    <row r="110" spans="1:54" ht="29.45" customHeight="1" thickBot="1">
      <c r="A110" s="90" t="s">
        <v>574</v>
      </c>
      <c r="B110" s="1207" t="s">
        <v>261</v>
      </c>
      <c r="C110" s="1208"/>
      <c r="D110" s="1209"/>
      <c r="E110" s="53"/>
      <c r="F110" s="1211" t="s">
        <v>257</v>
      </c>
      <c r="G110" s="1211"/>
      <c r="H110" s="1211"/>
      <c r="I110" s="1211"/>
      <c r="J110" s="1211"/>
      <c r="K110" s="1211"/>
      <c r="L110" s="1211"/>
      <c r="M110" s="1211"/>
      <c r="N110" s="1211"/>
      <c r="O110" s="1211"/>
      <c r="P110" s="1211"/>
      <c r="Q110" s="1212" t="s">
        <v>258</v>
      </c>
      <c r="R110" s="1213"/>
      <c r="S110" s="1214"/>
      <c r="T110" s="1240"/>
      <c r="U110" s="55"/>
      <c r="V110" s="56"/>
      <c r="W110" s="57"/>
      <c r="X110" s="58"/>
      <c r="Y110" s="106"/>
      <c r="Z110" s="1217"/>
      <c r="AA110" s="1218"/>
      <c r="AB110" s="1219"/>
      <c r="AC110" s="31"/>
      <c r="AD110" s="131" t="s">
        <v>769</v>
      </c>
      <c r="AF110" s="49"/>
      <c r="AG110" s="50"/>
    </row>
    <row r="111" spans="1:54" ht="66" customHeight="1" thickBot="1">
      <c r="A111" s="59"/>
      <c r="B111" s="1220" t="s">
        <v>617</v>
      </c>
      <c r="C111" s="1221"/>
      <c r="D111" s="1222"/>
      <c r="E111" s="1220" t="s">
        <v>216</v>
      </c>
      <c r="F111" s="1221"/>
      <c r="G111" s="1222"/>
      <c r="H111" s="1220" t="s">
        <v>253</v>
      </c>
      <c r="I111" s="1221"/>
      <c r="J111" s="1222"/>
      <c r="K111" s="1231" t="s">
        <v>629</v>
      </c>
      <c r="L111" s="1231"/>
      <c r="M111" s="1231"/>
      <c r="N111" s="1232" t="s">
        <v>249</v>
      </c>
      <c r="O111" s="1233"/>
      <c r="P111" s="1234"/>
      <c r="Q111" s="1232" t="s">
        <v>527</v>
      </c>
      <c r="R111" s="1233"/>
      <c r="S111" s="1234"/>
      <c r="T111" s="1215" t="s">
        <v>618</v>
      </c>
      <c r="U111" s="36"/>
      <c r="V111" s="1228" t="s">
        <v>254</v>
      </c>
      <c r="W111" s="1229"/>
      <c r="X111" s="1235"/>
      <c r="Y111" s="99"/>
      <c r="Z111" s="1228" t="s">
        <v>463</v>
      </c>
      <c r="AA111" s="1229"/>
      <c r="AB111" s="1230"/>
      <c r="AC111" s="37"/>
      <c r="AD111" s="72" t="s">
        <v>219</v>
      </c>
      <c r="AF111" s="31"/>
      <c r="AG111" s="33"/>
      <c r="AI111" s="1223" t="s">
        <v>773</v>
      </c>
      <c r="AJ111" s="1223"/>
      <c r="AK111" s="1223"/>
      <c r="AL111" s="1223"/>
      <c r="AM111" s="1223"/>
      <c r="AN111" s="1223"/>
      <c r="AO111" s="1223"/>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16"/>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8">A7</f>
        <v>Eastern Florida State College</v>
      </c>
      <c r="B113" s="880">
        <v>777</v>
      </c>
      <c r="C113" s="104"/>
      <c r="D113" s="754">
        <f t="shared" ref="D113:D140" si="9">B113+C113</f>
        <v>777</v>
      </c>
      <c r="E113" s="880">
        <v>5491.1391692867774</v>
      </c>
      <c r="F113" s="883">
        <v>193.99143637266255</v>
      </c>
      <c r="G113" s="754">
        <f t="shared" ref="G113:G140" si="10">E113+F113</f>
        <v>5685.1306056594403</v>
      </c>
      <c r="H113" s="886">
        <v>1757.9638639250929</v>
      </c>
      <c r="I113" s="887">
        <v>42.579118242130527</v>
      </c>
      <c r="J113" s="754">
        <f>H113+I113</f>
        <v>1800.5429821672235</v>
      </c>
      <c r="K113" s="892">
        <v>280.80722891566268</v>
      </c>
      <c r="L113" s="893">
        <v>25.192771084337348</v>
      </c>
      <c r="M113" s="84">
        <f t="shared" ref="M113:M140" si="11">K113+L113</f>
        <v>306</v>
      </c>
      <c r="N113" s="892">
        <v>0</v>
      </c>
      <c r="O113" s="893">
        <v>0</v>
      </c>
      <c r="P113" s="84">
        <f t="shared" ref="P113:P140" si="12">N113+O113</f>
        <v>0</v>
      </c>
      <c r="Q113" s="892">
        <v>367.66523091648719</v>
      </c>
      <c r="R113" s="898">
        <v>13.33500837520938</v>
      </c>
      <c r="S113" s="754">
        <f t="shared" ref="S113:S140" si="13">Q113+R113</f>
        <v>381.00023929169657</v>
      </c>
      <c r="T113" s="84">
        <f t="shared" ref="T113:T140" si="14">D113+G113+J113+M113+P113+S113</f>
        <v>8949.6738271183604</v>
      </c>
      <c r="V113" s="763">
        <f>X113-W113</f>
        <v>0</v>
      </c>
      <c r="W113" s="901">
        <v>0</v>
      </c>
      <c r="X113" s="902">
        <v>0</v>
      </c>
      <c r="Y113" s="130"/>
      <c r="Z113" s="767">
        <f>AB113-AA113</f>
        <v>0</v>
      </c>
      <c r="AA113" s="905">
        <v>0</v>
      </c>
      <c r="AB113" s="770">
        <f t="shared" ref="AB113:AB140" si="15">AG113</f>
        <v>0</v>
      </c>
      <c r="AD113" s="732" t="str">
        <f>A113</f>
        <v>Eastern Florida State College</v>
      </c>
      <c r="AE113" s="908">
        <v>0</v>
      </c>
      <c r="AF113" s="908">
        <v>0</v>
      </c>
      <c r="AG113" s="772">
        <f t="shared" ref="AG113:AG140" si="16">AE113+AF113</f>
        <v>0</v>
      </c>
      <c r="AI113" s="1210" t="s">
        <v>645</v>
      </c>
      <c r="AJ113" s="1210"/>
      <c r="AK113" s="1210"/>
      <c r="AL113" s="1210"/>
      <c r="AM113" s="1210"/>
      <c r="AN113" s="1210"/>
      <c r="AO113" s="70">
        <f>X141+AB141</f>
        <v>6187</v>
      </c>
      <c r="AP113" s="37"/>
      <c r="AR113" s="63"/>
      <c r="AS113" s="63"/>
      <c r="AT113" s="63"/>
      <c r="AU113" s="37"/>
      <c r="AY113" s="37"/>
      <c r="AZ113" s="37"/>
      <c r="BA113" s="37"/>
      <c r="BB113" s="37"/>
    </row>
    <row r="114" spans="1:54" ht="25.15" customHeight="1">
      <c r="A114" s="733" t="str">
        <f t="shared" si="8"/>
        <v>Broward College</v>
      </c>
      <c r="B114" s="881">
        <v>1179</v>
      </c>
      <c r="C114" s="97"/>
      <c r="D114" s="755">
        <f t="shared" si="9"/>
        <v>1179</v>
      </c>
      <c r="E114" s="881">
        <v>15451.280608077364</v>
      </c>
      <c r="F114" s="884">
        <v>528.54821803509662</v>
      </c>
      <c r="G114" s="755">
        <f t="shared" si="10"/>
        <v>15979.828826112462</v>
      </c>
      <c r="H114" s="888">
        <v>7028.4877766526834</v>
      </c>
      <c r="I114" s="889">
        <v>257.56458845653117</v>
      </c>
      <c r="J114" s="755">
        <f t="shared" ref="J114:J140" si="17">H114+I114</f>
        <v>7286.0523651092144</v>
      </c>
      <c r="K114" s="894">
        <v>1548.7973966613672</v>
      </c>
      <c r="L114" s="895">
        <v>172.20260333863271</v>
      </c>
      <c r="M114" s="759">
        <f t="shared" si="11"/>
        <v>1721</v>
      </c>
      <c r="N114" s="894">
        <v>37.673469387755105</v>
      </c>
      <c r="O114" s="895">
        <v>1.3265306122448979</v>
      </c>
      <c r="P114" s="759">
        <f t="shared" si="12"/>
        <v>39</v>
      </c>
      <c r="Q114" s="894">
        <v>462.90426880811498</v>
      </c>
      <c r="R114" s="899">
        <v>10.095731191885038</v>
      </c>
      <c r="S114" s="755">
        <f t="shared" si="13"/>
        <v>473</v>
      </c>
      <c r="T114" s="85">
        <f t="shared" si="14"/>
        <v>26677.881191221677</v>
      </c>
      <c r="V114" s="764">
        <f t="shared" ref="V114:V140" si="18">X114-W114</f>
        <v>0</v>
      </c>
      <c r="W114" s="903">
        <v>0</v>
      </c>
      <c r="X114" s="904">
        <v>0</v>
      </c>
      <c r="Y114" s="130"/>
      <c r="Z114" s="768">
        <f t="shared" ref="Z114:Z140" si="19">AB114-AA114</f>
        <v>0</v>
      </c>
      <c r="AA114" s="906">
        <v>0</v>
      </c>
      <c r="AB114" s="770">
        <f t="shared" si="15"/>
        <v>0</v>
      </c>
      <c r="AD114" s="740" t="str">
        <f>A114</f>
        <v>Broward College</v>
      </c>
      <c r="AE114" s="909">
        <v>0</v>
      </c>
      <c r="AF114" s="909">
        <v>0</v>
      </c>
      <c r="AG114" s="773">
        <f t="shared" si="16"/>
        <v>0</v>
      </c>
      <c r="AI114" s="1210" t="s">
        <v>632</v>
      </c>
      <c r="AJ114" s="1210"/>
      <c r="AK114" s="1210"/>
      <c r="AL114" s="1210"/>
      <c r="AM114" s="1210"/>
      <c r="AN114" s="1210"/>
      <c r="AO114" s="911">
        <v>25391.208508145679</v>
      </c>
      <c r="AP114" s="37"/>
      <c r="AR114" s="774"/>
      <c r="AS114" s="774"/>
      <c r="AT114" s="774"/>
      <c r="AU114" s="774"/>
      <c r="AV114" s="774"/>
      <c r="AW114" s="774"/>
      <c r="AX114" s="774"/>
      <c r="AY114" s="37"/>
      <c r="AZ114" s="37"/>
      <c r="BA114" s="37"/>
      <c r="BB114" s="37"/>
    </row>
    <row r="115" spans="1:54" ht="25.15" customHeight="1">
      <c r="A115" s="734" t="str">
        <f t="shared" si="8"/>
        <v>College of Central Florida</v>
      </c>
      <c r="B115" s="881">
        <v>330</v>
      </c>
      <c r="C115" s="97"/>
      <c r="D115" s="755">
        <f t="shared" si="9"/>
        <v>330</v>
      </c>
      <c r="E115" s="881">
        <v>2592.1975818984274</v>
      </c>
      <c r="F115" s="884">
        <v>111.18881705725119</v>
      </c>
      <c r="G115" s="755">
        <f t="shared" si="10"/>
        <v>2703.3863989556785</v>
      </c>
      <c r="H115" s="888">
        <v>1127.6590740893018</v>
      </c>
      <c r="I115" s="889">
        <v>33.752651920072367</v>
      </c>
      <c r="J115" s="755">
        <f t="shared" si="17"/>
        <v>1161.4117260093742</v>
      </c>
      <c r="K115" s="894">
        <v>143.66628041714949</v>
      </c>
      <c r="L115" s="895">
        <v>20.33371958285052</v>
      </c>
      <c r="M115" s="759">
        <f t="shared" si="11"/>
        <v>164</v>
      </c>
      <c r="N115" s="894">
        <v>0</v>
      </c>
      <c r="O115" s="895">
        <v>0</v>
      </c>
      <c r="P115" s="759">
        <f t="shared" si="12"/>
        <v>0</v>
      </c>
      <c r="Q115" s="894">
        <v>97.320039389463318</v>
      </c>
      <c r="R115" s="899">
        <v>2.9837518463810935</v>
      </c>
      <c r="S115" s="755">
        <f t="shared" si="13"/>
        <v>100.30379123584441</v>
      </c>
      <c r="T115" s="85">
        <f t="shared" si="14"/>
        <v>4459.101916200897</v>
      </c>
      <c r="V115" s="764">
        <f t="shared" si="18"/>
        <v>0</v>
      </c>
      <c r="W115" s="903">
        <v>0</v>
      </c>
      <c r="X115" s="904">
        <v>0</v>
      </c>
      <c r="Y115" s="130"/>
      <c r="Z115" s="768">
        <f t="shared" si="19"/>
        <v>3.3142857142857149</v>
      </c>
      <c r="AA115" s="906">
        <v>12.685714285714285</v>
      </c>
      <c r="AB115" s="770">
        <f t="shared" si="15"/>
        <v>16</v>
      </c>
      <c r="AD115" s="734" t="str">
        <f t="shared" ref="AD115:AD140" si="20">A115</f>
        <v>College of Central Florida</v>
      </c>
      <c r="AE115" s="909">
        <v>16</v>
      </c>
      <c r="AF115" s="909">
        <v>0</v>
      </c>
      <c r="AG115" s="773">
        <f t="shared" si="16"/>
        <v>16</v>
      </c>
      <c r="AI115" s="1210" t="s">
        <v>633</v>
      </c>
      <c r="AJ115" s="1210"/>
      <c r="AK115" s="1210"/>
      <c r="AL115" s="1210"/>
      <c r="AM115" s="1210"/>
      <c r="AN115" s="1210"/>
      <c r="AO115" s="912">
        <f>4403-2.8</f>
        <v>4400.2</v>
      </c>
      <c r="AP115" s="37"/>
      <c r="AR115" s="37"/>
      <c r="AS115" s="37"/>
      <c r="AT115" s="37"/>
      <c r="AU115" s="37"/>
      <c r="AV115" s="37"/>
      <c r="AW115" s="37"/>
      <c r="AX115" s="37"/>
      <c r="AY115" s="37"/>
      <c r="AZ115" s="37"/>
      <c r="BA115" s="37"/>
      <c r="BB115" s="37"/>
    </row>
    <row r="116" spans="1:54" ht="25.15" customHeight="1">
      <c r="A116" s="734" t="str">
        <f t="shared" si="8"/>
        <v>Chipola College</v>
      </c>
      <c r="B116" s="881">
        <v>126</v>
      </c>
      <c r="C116" s="97"/>
      <c r="D116" s="755">
        <f t="shared" si="9"/>
        <v>126</v>
      </c>
      <c r="E116" s="881">
        <v>666.2252384446075</v>
      </c>
      <c r="F116" s="884">
        <v>50.990147783251231</v>
      </c>
      <c r="G116" s="755">
        <f t="shared" si="10"/>
        <v>717.21538622785874</v>
      </c>
      <c r="H116" s="888">
        <v>216.68571428571428</v>
      </c>
      <c r="I116" s="889">
        <v>6.6000000000000005</v>
      </c>
      <c r="J116" s="755">
        <f t="shared" si="17"/>
        <v>223.28571428571428</v>
      </c>
      <c r="K116" s="894">
        <v>15.030821917808218</v>
      </c>
      <c r="L116" s="895">
        <v>3.9691780821917808</v>
      </c>
      <c r="M116" s="759">
        <f t="shared" si="11"/>
        <v>19</v>
      </c>
      <c r="N116" s="894">
        <v>0</v>
      </c>
      <c r="O116" s="895">
        <v>0</v>
      </c>
      <c r="P116" s="759">
        <f t="shared" si="12"/>
        <v>0</v>
      </c>
      <c r="Q116" s="894">
        <v>129.07489597780861</v>
      </c>
      <c r="R116" s="899">
        <v>1.8585298196948683</v>
      </c>
      <c r="S116" s="755">
        <f t="shared" si="13"/>
        <v>130.93342579750347</v>
      </c>
      <c r="T116" s="85">
        <f t="shared" si="14"/>
        <v>1216.4345263110765</v>
      </c>
      <c r="V116" s="764">
        <f t="shared" si="18"/>
        <v>0</v>
      </c>
      <c r="W116" s="903">
        <v>0</v>
      </c>
      <c r="X116" s="904">
        <v>0</v>
      </c>
      <c r="Y116" s="130"/>
      <c r="Z116" s="768">
        <f t="shared" si="19"/>
        <v>0</v>
      </c>
      <c r="AA116" s="906">
        <v>0</v>
      </c>
      <c r="AB116" s="770">
        <f t="shared" si="15"/>
        <v>0</v>
      </c>
      <c r="AD116" s="734" t="str">
        <f t="shared" si="20"/>
        <v>Chipola College</v>
      </c>
      <c r="AE116" s="909">
        <v>0</v>
      </c>
      <c r="AF116" s="909">
        <v>0</v>
      </c>
      <c r="AG116" s="773">
        <f t="shared" si="16"/>
        <v>0</v>
      </c>
      <c r="AI116" s="63" t="s">
        <v>222</v>
      </c>
      <c r="AJ116" s="63"/>
      <c r="AK116" s="63"/>
      <c r="AL116" s="63"/>
      <c r="AM116" s="63"/>
      <c r="AN116" s="63"/>
      <c r="AO116" s="69">
        <f>SUM(AO113:AO115)</f>
        <v>35978.40850814568</v>
      </c>
      <c r="AP116" s="37"/>
      <c r="AR116" s="774"/>
      <c r="AS116" s="774"/>
      <c r="AT116" s="774"/>
      <c r="AU116" s="774"/>
      <c r="AV116" s="774"/>
      <c r="AW116" s="774"/>
      <c r="AX116" s="774"/>
    </row>
    <row r="117" spans="1:54" ht="25.15" customHeight="1">
      <c r="A117" s="734" t="str">
        <f t="shared" si="8"/>
        <v>Daytona State College</v>
      </c>
      <c r="B117" s="881">
        <v>916</v>
      </c>
      <c r="C117" s="97"/>
      <c r="D117" s="755">
        <f t="shared" si="9"/>
        <v>916</v>
      </c>
      <c r="E117" s="881">
        <v>5183.9919500391316</v>
      </c>
      <c r="F117" s="884">
        <v>523.12121260521656</v>
      </c>
      <c r="G117" s="755">
        <f t="shared" si="10"/>
        <v>5707.1131626443484</v>
      </c>
      <c r="H117" s="888">
        <v>2098.7909149902662</v>
      </c>
      <c r="I117" s="889">
        <v>128.44771793207875</v>
      </c>
      <c r="J117" s="755">
        <f t="shared" si="17"/>
        <v>2227.238632922345</v>
      </c>
      <c r="K117" s="894">
        <v>166.38403755868543</v>
      </c>
      <c r="L117" s="895">
        <v>14.615962441314553</v>
      </c>
      <c r="M117" s="759">
        <f t="shared" si="11"/>
        <v>181</v>
      </c>
      <c r="N117" s="894">
        <v>1.8461538461538463</v>
      </c>
      <c r="O117" s="895">
        <v>0.15384615384615385</v>
      </c>
      <c r="P117" s="759">
        <f t="shared" si="12"/>
        <v>2</v>
      </c>
      <c r="Q117" s="894">
        <v>607.54677513073796</v>
      </c>
      <c r="R117" s="899">
        <v>79.353864032539221</v>
      </c>
      <c r="S117" s="755">
        <f t="shared" si="13"/>
        <v>686.90063916327722</v>
      </c>
      <c r="T117" s="85">
        <f t="shared" si="14"/>
        <v>9720.2524347299714</v>
      </c>
      <c r="V117" s="764">
        <f t="shared" si="18"/>
        <v>2.4000000000000004</v>
      </c>
      <c r="W117" s="903">
        <v>4.5999999999999996</v>
      </c>
      <c r="X117" s="904">
        <v>7</v>
      </c>
      <c r="Y117" s="130"/>
      <c r="Z117" s="768">
        <f t="shared" si="19"/>
        <v>71.334461092315109</v>
      </c>
      <c r="AA117" s="906">
        <v>756.66553890768489</v>
      </c>
      <c r="AB117" s="770">
        <f t="shared" si="15"/>
        <v>828</v>
      </c>
      <c r="AD117" s="734" t="str">
        <f t="shared" si="20"/>
        <v>Daytona State College</v>
      </c>
      <c r="AE117" s="909">
        <v>703</v>
      </c>
      <c r="AF117" s="909">
        <v>125</v>
      </c>
      <c r="AG117" s="773">
        <f t="shared" si="16"/>
        <v>828</v>
      </c>
      <c r="AP117" s="37"/>
      <c r="AS117" s="63"/>
      <c r="AT117" s="37"/>
      <c r="AU117" s="37"/>
      <c r="AV117" s="37"/>
      <c r="AW117" s="37"/>
    </row>
    <row r="118" spans="1:54" ht="25.15" customHeight="1">
      <c r="A118" s="734" t="str">
        <f t="shared" si="8"/>
        <v>Florida SouthWestern State College</v>
      </c>
      <c r="B118" s="881">
        <v>597</v>
      </c>
      <c r="C118" s="97"/>
      <c r="D118" s="755">
        <f t="shared" si="9"/>
        <v>597</v>
      </c>
      <c r="E118" s="881">
        <v>7828.9717216901872</v>
      </c>
      <c r="F118" s="884">
        <v>241.95808131720429</v>
      </c>
      <c r="G118" s="755">
        <f t="shared" si="10"/>
        <v>8070.9298030073915</v>
      </c>
      <c r="H118" s="888">
        <v>541.79047619047617</v>
      </c>
      <c r="I118" s="889">
        <v>4.0255411255411255</v>
      </c>
      <c r="J118" s="755">
        <f t="shared" si="17"/>
        <v>545.81601731601734</v>
      </c>
      <c r="K118" s="894">
        <v>216.38809344385834</v>
      </c>
      <c r="L118" s="895">
        <v>21.611906556141676</v>
      </c>
      <c r="M118" s="759">
        <f t="shared" si="11"/>
        <v>238</v>
      </c>
      <c r="N118" s="894">
        <v>0</v>
      </c>
      <c r="O118" s="895">
        <v>0</v>
      </c>
      <c r="P118" s="759">
        <f t="shared" si="12"/>
        <v>0</v>
      </c>
      <c r="Q118" s="894">
        <v>28.292682926829269</v>
      </c>
      <c r="R118" s="899">
        <v>0.70731707317073167</v>
      </c>
      <c r="S118" s="755">
        <f t="shared" si="13"/>
        <v>29</v>
      </c>
      <c r="T118" s="85">
        <f t="shared" si="14"/>
        <v>9480.7458203234091</v>
      </c>
      <c r="V118" s="764">
        <f t="shared" si="18"/>
        <v>0</v>
      </c>
      <c r="W118" s="903">
        <v>0</v>
      </c>
      <c r="X118" s="904">
        <v>0</v>
      </c>
      <c r="Y118" s="130"/>
      <c r="Z118" s="768">
        <f t="shared" si="19"/>
        <v>0</v>
      </c>
      <c r="AA118" s="906">
        <v>0</v>
      </c>
      <c r="AB118" s="770">
        <f t="shared" si="15"/>
        <v>0</v>
      </c>
      <c r="AD118" s="734" t="str">
        <f t="shared" si="20"/>
        <v>Florida SouthWestern State College</v>
      </c>
      <c r="AE118" s="909">
        <v>0</v>
      </c>
      <c r="AF118" s="909">
        <v>0</v>
      </c>
      <c r="AG118" s="773">
        <f t="shared" si="16"/>
        <v>0</v>
      </c>
      <c r="AI118" s="63" t="s">
        <v>770</v>
      </c>
      <c r="AJ118" s="37"/>
      <c r="AK118" s="37"/>
      <c r="AL118" s="37"/>
      <c r="AM118" s="37"/>
      <c r="AN118" s="37"/>
      <c r="AO118" s="911">
        <v>320691</v>
      </c>
      <c r="AR118" s="63"/>
      <c r="AS118" s="63"/>
      <c r="AT118" s="37"/>
      <c r="AU118" s="37"/>
      <c r="AV118" s="37"/>
      <c r="AW118" s="37"/>
    </row>
    <row r="119" spans="1:54" ht="25.15" customHeight="1">
      <c r="A119" s="734" t="str">
        <f t="shared" si="8"/>
        <v>Florida State College at Jacksonville</v>
      </c>
      <c r="B119" s="881">
        <v>1783</v>
      </c>
      <c r="C119" s="97"/>
      <c r="D119" s="755">
        <f t="shared" si="9"/>
        <v>1783</v>
      </c>
      <c r="E119" s="881">
        <v>8489.2323448214429</v>
      </c>
      <c r="F119" s="884">
        <v>326.06666666666666</v>
      </c>
      <c r="G119" s="755">
        <f t="shared" si="10"/>
        <v>8815.2990114881104</v>
      </c>
      <c r="H119" s="888">
        <v>3207.1411642470025</v>
      </c>
      <c r="I119" s="889">
        <v>88.099014349498745</v>
      </c>
      <c r="J119" s="755">
        <f t="shared" si="17"/>
        <v>3295.2401785965012</v>
      </c>
      <c r="K119" s="894">
        <v>581.20188843334574</v>
      </c>
      <c r="L119" s="895">
        <v>35.798111566654242</v>
      </c>
      <c r="M119" s="759">
        <f t="shared" si="11"/>
        <v>617</v>
      </c>
      <c r="N119" s="894">
        <v>0</v>
      </c>
      <c r="O119" s="895">
        <v>0</v>
      </c>
      <c r="P119" s="759">
        <f t="shared" si="12"/>
        <v>0</v>
      </c>
      <c r="Q119" s="894">
        <v>766.68786778515084</v>
      </c>
      <c r="R119" s="899">
        <v>26.009765869537997</v>
      </c>
      <c r="S119" s="755">
        <f t="shared" si="13"/>
        <v>792.69763365468884</v>
      </c>
      <c r="T119" s="85">
        <f t="shared" si="14"/>
        <v>15303.2368237393</v>
      </c>
      <c r="V119" s="764">
        <f t="shared" si="18"/>
        <v>0</v>
      </c>
      <c r="W119" s="903">
        <v>0</v>
      </c>
      <c r="X119" s="904">
        <v>0</v>
      </c>
      <c r="Y119" s="130"/>
      <c r="Z119" s="768">
        <f t="shared" si="19"/>
        <v>137.918867150089</v>
      </c>
      <c r="AA119" s="906">
        <v>593.081132849911</v>
      </c>
      <c r="AB119" s="770">
        <f t="shared" si="15"/>
        <v>731</v>
      </c>
      <c r="AD119" s="734" t="str">
        <f t="shared" si="20"/>
        <v>Florida State College at Jacksonville</v>
      </c>
      <c r="AE119" s="909">
        <v>625</v>
      </c>
      <c r="AF119" s="909">
        <v>106</v>
      </c>
      <c r="AG119" s="773">
        <f t="shared" si="16"/>
        <v>731</v>
      </c>
      <c r="AM119" s="37"/>
      <c r="AN119" s="37"/>
      <c r="AO119" s="68">
        <f>AO116</f>
        <v>35978.40850814568</v>
      </c>
      <c r="AP119" s="37"/>
      <c r="AQ119" s="63"/>
      <c r="AR119" s="63"/>
      <c r="AS119" s="63"/>
      <c r="AT119" s="37"/>
      <c r="AU119" s="37"/>
      <c r="AV119" s="37"/>
      <c r="AW119" s="37"/>
    </row>
    <row r="120" spans="1:54" ht="25.15" customHeight="1">
      <c r="A120" s="734" t="str">
        <f t="shared" si="8"/>
        <v>Florida Keys Community College</v>
      </c>
      <c r="B120" s="881">
        <v>23</v>
      </c>
      <c r="C120" s="97"/>
      <c r="D120" s="755">
        <f t="shared" si="9"/>
        <v>23</v>
      </c>
      <c r="E120" s="881">
        <v>336.8369947275923</v>
      </c>
      <c r="F120" s="884">
        <v>39.769332161687167</v>
      </c>
      <c r="G120" s="755">
        <f t="shared" si="10"/>
        <v>376.60632688927944</v>
      </c>
      <c r="H120" s="888">
        <v>182.69115364718053</v>
      </c>
      <c r="I120" s="889">
        <v>22.381272633212621</v>
      </c>
      <c r="J120" s="755">
        <f t="shared" si="17"/>
        <v>205.07242628039316</v>
      </c>
      <c r="K120" s="894">
        <v>13.018181818181819</v>
      </c>
      <c r="L120" s="895">
        <v>2.9818181818181815</v>
      </c>
      <c r="M120" s="759">
        <f t="shared" si="11"/>
        <v>16</v>
      </c>
      <c r="N120" s="894">
        <v>0</v>
      </c>
      <c r="O120" s="895">
        <v>0</v>
      </c>
      <c r="P120" s="759">
        <f t="shared" si="12"/>
        <v>0</v>
      </c>
      <c r="Q120" s="894">
        <v>51.113585746102451</v>
      </c>
      <c r="R120" s="899">
        <v>2.8864142538975504</v>
      </c>
      <c r="S120" s="755">
        <f t="shared" si="13"/>
        <v>54</v>
      </c>
      <c r="T120" s="85">
        <f t="shared" si="14"/>
        <v>674.67875316967263</v>
      </c>
      <c r="V120" s="764">
        <f t="shared" si="18"/>
        <v>0</v>
      </c>
      <c r="W120" s="903">
        <v>0</v>
      </c>
      <c r="X120" s="904">
        <v>0</v>
      </c>
      <c r="Y120" s="130"/>
      <c r="Z120" s="768">
        <f t="shared" si="19"/>
        <v>0</v>
      </c>
      <c r="AA120" s="906">
        <v>0</v>
      </c>
      <c r="AB120" s="770">
        <f t="shared" si="15"/>
        <v>0</v>
      </c>
      <c r="AD120" s="734" t="str">
        <f t="shared" si="20"/>
        <v>Florida Keys Community College</v>
      </c>
      <c r="AE120" s="909">
        <v>0</v>
      </c>
      <c r="AF120" s="909">
        <v>0</v>
      </c>
      <c r="AG120" s="773">
        <f t="shared" si="16"/>
        <v>0</v>
      </c>
      <c r="AI120" s="1206" t="s">
        <v>772</v>
      </c>
      <c r="AJ120" s="1206"/>
      <c r="AK120" s="1206"/>
      <c r="AL120" s="1206"/>
      <c r="AM120" s="1206"/>
      <c r="AN120" s="1206"/>
      <c r="AO120" s="742">
        <f>AO118-AO119</f>
        <v>284712.59149185434</v>
      </c>
      <c r="AP120" s="37"/>
      <c r="AQ120" s="37"/>
      <c r="AR120" s="37"/>
      <c r="AS120" s="37"/>
      <c r="AT120" s="37"/>
      <c r="AU120" s="37"/>
    </row>
    <row r="121" spans="1:54" ht="25.15" customHeight="1">
      <c r="A121" s="734" t="str">
        <f t="shared" si="8"/>
        <v>Gulf Coast State College</v>
      </c>
      <c r="B121" s="881">
        <v>138</v>
      </c>
      <c r="C121" s="97"/>
      <c r="D121" s="755">
        <f t="shared" si="9"/>
        <v>138</v>
      </c>
      <c r="E121" s="881">
        <v>2108.1479223547894</v>
      </c>
      <c r="F121" s="884">
        <v>99.274002318883944</v>
      </c>
      <c r="G121" s="755">
        <f t="shared" si="10"/>
        <v>2207.4219246736734</v>
      </c>
      <c r="H121" s="888">
        <v>588.5780346820809</v>
      </c>
      <c r="I121" s="889">
        <v>19.052023121387283</v>
      </c>
      <c r="J121" s="755">
        <f t="shared" si="17"/>
        <v>607.63005780346816</v>
      </c>
      <c r="K121" s="894">
        <v>63.063469675599436</v>
      </c>
      <c r="L121" s="895">
        <v>5.9365303244005636</v>
      </c>
      <c r="M121" s="759">
        <f t="shared" si="11"/>
        <v>69</v>
      </c>
      <c r="N121" s="894">
        <v>21.16</v>
      </c>
      <c r="O121" s="895">
        <v>1.84</v>
      </c>
      <c r="P121" s="759">
        <f t="shared" si="12"/>
        <v>23</v>
      </c>
      <c r="Q121" s="894">
        <v>134.39477503628447</v>
      </c>
      <c r="R121" s="899">
        <v>3.6052249637155294</v>
      </c>
      <c r="S121" s="755">
        <f t="shared" si="13"/>
        <v>138</v>
      </c>
      <c r="T121" s="85">
        <f t="shared" si="14"/>
        <v>3183.0519824771418</v>
      </c>
      <c r="V121" s="764">
        <f t="shared" si="18"/>
        <v>0</v>
      </c>
      <c r="W121" s="903">
        <v>0</v>
      </c>
      <c r="X121" s="904">
        <v>0</v>
      </c>
      <c r="Y121" s="130"/>
      <c r="Z121" s="768">
        <f t="shared" si="19"/>
        <v>0</v>
      </c>
      <c r="AA121" s="906">
        <v>0</v>
      </c>
      <c r="AB121" s="770">
        <f t="shared" si="15"/>
        <v>0</v>
      </c>
      <c r="AD121" s="734" t="str">
        <f t="shared" si="20"/>
        <v>Gulf Coast State College</v>
      </c>
      <c r="AE121" s="909">
        <v>0</v>
      </c>
      <c r="AF121" s="909">
        <v>0</v>
      </c>
      <c r="AG121" s="773">
        <f t="shared" si="16"/>
        <v>0</v>
      </c>
      <c r="AP121" s="37"/>
      <c r="AQ121" s="37"/>
      <c r="AR121" s="37"/>
      <c r="AS121" s="37"/>
      <c r="AT121" s="37"/>
      <c r="AU121" s="37"/>
    </row>
    <row r="122" spans="1:54" ht="25.15" customHeight="1">
      <c r="A122" s="734" t="str">
        <f t="shared" si="8"/>
        <v>Hillsborough Community College</v>
      </c>
      <c r="B122" s="881">
        <v>0</v>
      </c>
      <c r="C122" s="97"/>
      <c r="D122" s="755">
        <f t="shared" si="9"/>
        <v>0</v>
      </c>
      <c r="E122" s="881">
        <v>12015.43164242003</v>
      </c>
      <c r="F122" s="884">
        <v>472.61578982762103</v>
      </c>
      <c r="G122" s="755">
        <f t="shared" si="10"/>
        <v>12488.047432247651</v>
      </c>
      <c r="H122" s="888">
        <v>3205.9329332752941</v>
      </c>
      <c r="I122" s="889">
        <v>88.146725949878743</v>
      </c>
      <c r="J122" s="755">
        <f t="shared" si="17"/>
        <v>3294.0796592251727</v>
      </c>
      <c r="K122" s="894">
        <v>991.65827969572854</v>
      </c>
      <c r="L122" s="895">
        <v>55.341720304271504</v>
      </c>
      <c r="M122" s="759">
        <f t="shared" si="11"/>
        <v>1047</v>
      </c>
      <c r="N122" s="894">
        <v>65.647812166488791</v>
      </c>
      <c r="O122" s="895">
        <v>0.35218783351120597</v>
      </c>
      <c r="P122" s="759">
        <f t="shared" si="12"/>
        <v>66</v>
      </c>
      <c r="Q122" s="894">
        <v>406.20562560620755</v>
      </c>
      <c r="R122" s="899">
        <v>5.7943743937924346</v>
      </c>
      <c r="S122" s="755">
        <f t="shared" si="13"/>
        <v>412</v>
      </c>
      <c r="T122" s="85">
        <f t="shared" si="14"/>
        <v>17307.127091472823</v>
      </c>
      <c r="V122" s="764">
        <f t="shared" si="18"/>
        <v>0</v>
      </c>
      <c r="W122" s="903">
        <v>0</v>
      </c>
      <c r="X122" s="904">
        <v>0</v>
      </c>
      <c r="Y122" s="130"/>
      <c r="Z122" s="768">
        <f t="shared" si="19"/>
        <v>45.289617486338798</v>
      </c>
      <c r="AA122" s="906">
        <v>28.710382513661202</v>
      </c>
      <c r="AB122" s="770">
        <f t="shared" si="15"/>
        <v>74</v>
      </c>
      <c r="AD122" s="734" t="str">
        <f t="shared" si="20"/>
        <v>Hillsborough Community College</v>
      </c>
      <c r="AE122" s="909">
        <v>59</v>
      </c>
      <c r="AF122" s="909">
        <v>15</v>
      </c>
      <c r="AG122" s="773">
        <f t="shared" si="16"/>
        <v>74</v>
      </c>
      <c r="AI122" s="1206" t="s">
        <v>771</v>
      </c>
      <c r="AJ122" s="1206"/>
      <c r="AK122" s="1206"/>
      <c r="AL122" s="1206"/>
      <c r="AM122" s="1206"/>
      <c r="AN122" s="1206"/>
      <c r="AO122" s="743">
        <f>AO116+AO120</f>
        <v>320691</v>
      </c>
      <c r="AP122" s="37"/>
      <c r="AQ122" s="37"/>
      <c r="AR122" s="37"/>
      <c r="AS122" s="37"/>
      <c r="AT122" s="37"/>
      <c r="AU122" s="37"/>
    </row>
    <row r="123" spans="1:54" ht="25.15" customHeight="1">
      <c r="A123" s="734" t="str">
        <f t="shared" si="8"/>
        <v>Indian River State College</v>
      </c>
      <c r="B123" s="881">
        <v>1500</v>
      </c>
      <c r="C123" s="97"/>
      <c r="D123" s="755">
        <f t="shared" si="9"/>
        <v>1500</v>
      </c>
      <c r="E123" s="881">
        <v>5241.1714371469889</v>
      </c>
      <c r="F123" s="884">
        <v>108.31410133973641</v>
      </c>
      <c r="G123" s="755">
        <f t="shared" si="10"/>
        <v>5349.4855384867251</v>
      </c>
      <c r="H123" s="888">
        <v>2304.6789943103181</v>
      </c>
      <c r="I123" s="889">
        <v>37.744848531447026</v>
      </c>
      <c r="J123" s="755">
        <f t="shared" si="17"/>
        <v>2342.4238428417652</v>
      </c>
      <c r="K123" s="894">
        <v>178.21182266009853</v>
      </c>
      <c r="L123" s="895">
        <v>7.7881773399014786</v>
      </c>
      <c r="M123" s="759">
        <f t="shared" si="11"/>
        <v>186</v>
      </c>
      <c r="N123" s="894">
        <v>0</v>
      </c>
      <c r="O123" s="895">
        <v>0</v>
      </c>
      <c r="P123" s="759">
        <f t="shared" si="12"/>
        <v>0</v>
      </c>
      <c r="Q123" s="894">
        <v>666.1131161971831</v>
      </c>
      <c r="R123" s="899">
        <v>8.8921654929577461</v>
      </c>
      <c r="S123" s="755">
        <f t="shared" si="13"/>
        <v>675.00528169014081</v>
      </c>
      <c r="T123" s="85">
        <f t="shared" si="14"/>
        <v>10052.914663018631</v>
      </c>
      <c r="V123" s="764">
        <f t="shared" si="18"/>
        <v>0</v>
      </c>
      <c r="W123" s="903">
        <v>0</v>
      </c>
      <c r="X123" s="904">
        <v>0</v>
      </c>
      <c r="Y123" s="130"/>
      <c r="Z123" s="768">
        <f t="shared" si="19"/>
        <v>741.66089031856382</v>
      </c>
      <c r="AA123" s="906">
        <v>221.33910968143616</v>
      </c>
      <c r="AB123" s="770">
        <f t="shared" si="15"/>
        <v>963</v>
      </c>
      <c r="AD123" s="734" t="str">
        <f t="shared" si="20"/>
        <v>Indian River State College</v>
      </c>
      <c r="AE123" s="909">
        <v>854</v>
      </c>
      <c r="AF123" s="909">
        <v>109</v>
      </c>
      <c r="AG123" s="773">
        <f t="shared" si="16"/>
        <v>963</v>
      </c>
      <c r="AM123" s="37"/>
      <c r="AN123" s="37"/>
      <c r="AO123" s="37"/>
      <c r="AP123" s="37"/>
      <c r="AQ123" s="37"/>
      <c r="AR123" s="37"/>
      <c r="AS123" s="37"/>
      <c r="AT123" s="37"/>
      <c r="AU123" s="37"/>
    </row>
    <row r="124" spans="1:54" ht="25.15" customHeight="1">
      <c r="A124" s="734" t="str">
        <f t="shared" si="8"/>
        <v>Florida Gateway College</v>
      </c>
      <c r="B124" s="881">
        <v>59</v>
      </c>
      <c r="C124" s="97"/>
      <c r="D124" s="755">
        <f t="shared" si="9"/>
        <v>59</v>
      </c>
      <c r="E124" s="881">
        <v>934.20119760479031</v>
      </c>
      <c r="F124" s="884">
        <v>6.3728777738640368</v>
      </c>
      <c r="G124" s="755">
        <f t="shared" si="10"/>
        <v>940.57407537865436</v>
      </c>
      <c r="H124" s="888">
        <v>425.88218793828889</v>
      </c>
      <c r="I124" s="889">
        <v>4.3894343151005133</v>
      </c>
      <c r="J124" s="755">
        <f t="shared" si="17"/>
        <v>430.27162225338941</v>
      </c>
      <c r="K124" s="894">
        <v>59.350649350649348</v>
      </c>
      <c r="L124" s="895">
        <v>0.64935064935064934</v>
      </c>
      <c r="M124" s="759">
        <f t="shared" si="11"/>
        <v>60</v>
      </c>
      <c r="N124" s="894">
        <v>18</v>
      </c>
      <c r="O124" s="895">
        <v>0</v>
      </c>
      <c r="P124" s="759">
        <f t="shared" si="12"/>
        <v>18</v>
      </c>
      <c r="Q124" s="894">
        <v>226.88950988822012</v>
      </c>
      <c r="R124" s="899">
        <v>1.2020636285468616</v>
      </c>
      <c r="S124" s="755">
        <f t="shared" si="13"/>
        <v>228.09157351676697</v>
      </c>
      <c r="T124" s="85">
        <f t="shared" si="14"/>
        <v>1735.9372711488109</v>
      </c>
      <c r="V124" s="764">
        <f t="shared" si="18"/>
        <v>0</v>
      </c>
      <c r="W124" s="903">
        <v>0</v>
      </c>
      <c r="X124" s="904">
        <v>0</v>
      </c>
      <c r="Y124" s="130"/>
      <c r="Z124" s="768">
        <f t="shared" si="19"/>
        <v>0</v>
      </c>
      <c r="AA124" s="906">
        <v>0</v>
      </c>
      <c r="AB124" s="770">
        <f t="shared" si="15"/>
        <v>0</v>
      </c>
      <c r="AD124" s="734" t="str">
        <f t="shared" si="20"/>
        <v>Florida Gateway College</v>
      </c>
      <c r="AE124" s="909">
        <v>0</v>
      </c>
      <c r="AF124" s="909">
        <v>0</v>
      </c>
      <c r="AG124" s="773">
        <f t="shared" si="16"/>
        <v>0</v>
      </c>
    </row>
    <row r="125" spans="1:54" ht="25.15" customHeight="1">
      <c r="A125" s="734" t="str">
        <f t="shared" si="8"/>
        <v>Lake-Sumter State College</v>
      </c>
      <c r="B125" s="881">
        <v>50</v>
      </c>
      <c r="C125" s="97"/>
      <c r="D125" s="755">
        <f t="shared" si="9"/>
        <v>50</v>
      </c>
      <c r="E125" s="881">
        <v>1960.5353571913315</v>
      </c>
      <c r="F125" s="884">
        <v>17.986562910012214</v>
      </c>
      <c r="G125" s="755">
        <f t="shared" si="10"/>
        <v>1978.5219201013438</v>
      </c>
      <c r="H125" s="888">
        <v>496.02400384061445</v>
      </c>
      <c r="I125" s="889">
        <v>2.987037926068171</v>
      </c>
      <c r="J125" s="755">
        <f t="shared" si="17"/>
        <v>499.01104176668264</v>
      </c>
      <c r="K125" s="894">
        <v>78.730158730158735</v>
      </c>
      <c r="L125" s="895">
        <v>1.2698412698412698</v>
      </c>
      <c r="M125" s="759">
        <f t="shared" si="11"/>
        <v>80</v>
      </c>
      <c r="N125" s="894">
        <v>0</v>
      </c>
      <c r="O125" s="895">
        <v>0</v>
      </c>
      <c r="P125" s="759">
        <f t="shared" si="12"/>
        <v>0</v>
      </c>
      <c r="Q125" s="894">
        <v>0</v>
      </c>
      <c r="R125" s="899">
        <v>0</v>
      </c>
      <c r="S125" s="755">
        <f t="shared" si="13"/>
        <v>0</v>
      </c>
      <c r="T125" s="85">
        <f t="shared" si="14"/>
        <v>2607.5329618680262</v>
      </c>
      <c r="V125" s="764">
        <f t="shared" si="18"/>
        <v>0</v>
      </c>
      <c r="W125" s="903">
        <v>0</v>
      </c>
      <c r="X125" s="904">
        <v>0</v>
      </c>
      <c r="Y125" s="130"/>
      <c r="Z125" s="768">
        <f t="shared" si="19"/>
        <v>0</v>
      </c>
      <c r="AA125" s="906">
        <v>0</v>
      </c>
      <c r="AB125" s="770">
        <f t="shared" si="15"/>
        <v>0</v>
      </c>
      <c r="AD125" s="734" t="str">
        <f t="shared" si="20"/>
        <v>Lake-Sumter State College</v>
      </c>
      <c r="AE125" s="909">
        <v>0</v>
      </c>
      <c r="AF125" s="909">
        <v>0</v>
      </c>
      <c r="AG125" s="773">
        <f t="shared" si="16"/>
        <v>0</v>
      </c>
    </row>
    <row r="126" spans="1:54" ht="25.15" customHeight="1">
      <c r="A126" s="734" t="str">
        <f t="shared" si="8"/>
        <v>State College of Florida, Manatee-Sarasota</v>
      </c>
      <c r="B126" s="881">
        <v>466</v>
      </c>
      <c r="C126" s="97"/>
      <c r="D126" s="755">
        <f t="shared" si="9"/>
        <v>466</v>
      </c>
      <c r="E126" s="881">
        <v>4849.9118139021566</v>
      </c>
      <c r="F126" s="884">
        <v>207.97185770205718</v>
      </c>
      <c r="G126" s="755">
        <f t="shared" si="10"/>
        <v>5057.8836716042142</v>
      </c>
      <c r="H126" s="888">
        <v>543.33486319505732</v>
      </c>
      <c r="I126" s="889">
        <v>19.050308914386584</v>
      </c>
      <c r="J126" s="755">
        <f t="shared" si="17"/>
        <v>562.38517210944394</v>
      </c>
      <c r="K126" s="894">
        <v>202.44392721117225</v>
      </c>
      <c r="L126" s="895">
        <v>12.556072788827763</v>
      </c>
      <c r="M126" s="759">
        <f t="shared" si="11"/>
        <v>215</v>
      </c>
      <c r="N126" s="894">
        <v>27.651452282157678</v>
      </c>
      <c r="O126" s="895">
        <v>0.34854771784232363</v>
      </c>
      <c r="P126" s="759">
        <f t="shared" si="12"/>
        <v>28</v>
      </c>
      <c r="Q126" s="894">
        <v>0</v>
      </c>
      <c r="R126" s="899">
        <v>0</v>
      </c>
      <c r="S126" s="755">
        <f t="shared" si="13"/>
        <v>0</v>
      </c>
      <c r="T126" s="85">
        <f t="shared" si="14"/>
        <v>6329.2688437136585</v>
      </c>
      <c r="V126" s="764">
        <f t="shared" si="18"/>
        <v>0</v>
      </c>
      <c r="W126" s="903">
        <v>0</v>
      </c>
      <c r="X126" s="904">
        <v>0</v>
      </c>
      <c r="Y126" s="130"/>
      <c r="Z126" s="768">
        <f t="shared" si="19"/>
        <v>0</v>
      </c>
      <c r="AA126" s="906">
        <v>0</v>
      </c>
      <c r="AB126" s="770">
        <f t="shared" si="15"/>
        <v>0</v>
      </c>
      <c r="AD126" s="734" t="str">
        <f t="shared" si="20"/>
        <v>State College of Florida, Manatee-Sarasota</v>
      </c>
      <c r="AE126" s="909">
        <v>0</v>
      </c>
      <c r="AF126" s="909">
        <v>0</v>
      </c>
      <c r="AG126" s="773">
        <f t="shared" si="16"/>
        <v>0</v>
      </c>
    </row>
    <row r="127" spans="1:54" ht="25.15" customHeight="1">
      <c r="A127" s="734" t="str">
        <f t="shared" si="8"/>
        <v>Miami Dade College</v>
      </c>
      <c r="B127" s="881">
        <v>1865</v>
      </c>
      <c r="C127" s="97"/>
      <c r="D127" s="755">
        <f t="shared" si="9"/>
        <v>1865</v>
      </c>
      <c r="E127" s="881">
        <v>31720.618788833315</v>
      </c>
      <c r="F127" s="884">
        <v>1468.6002584560713</v>
      </c>
      <c r="G127" s="755">
        <f t="shared" si="10"/>
        <v>33189.219047289385</v>
      </c>
      <c r="H127" s="888">
        <v>3530.9751332602209</v>
      </c>
      <c r="I127" s="889">
        <v>158.95432171185189</v>
      </c>
      <c r="J127" s="755">
        <f t="shared" si="17"/>
        <v>3689.9294549720726</v>
      </c>
      <c r="K127" s="894">
        <v>2886.5073773568561</v>
      </c>
      <c r="L127" s="895">
        <v>183.49262264314382</v>
      </c>
      <c r="M127" s="759">
        <f t="shared" si="11"/>
        <v>3070</v>
      </c>
      <c r="N127" s="894">
        <v>7</v>
      </c>
      <c r="O127" s="895">
        <v>0</v>
      </c>
      <c r="P127" s="759">
        <f t="shared" si="12"/>
        <v>7</v>
      </c>
      <c r="Q127" s="894">
        <v>969.36805976176061</v>
      </c>
      <c r="R127" s="899">
        <v>22.631940238239451</v>
      </c>
      <c r="S127" s="755">
        <f t="shared" si="13"/>
        <v>992</v>
      </c>
      <c r="T127" s="85">
        <f t="shared" si="14"/>
        <v>42813.148502261458</v>
      </c>
      <c r="V127" s="764">
        <f t="shared" si="18"/>
        <v>8.62755488266464</v>
      </c>
      <c r="W127" s="903">
        <v>122.37244511733536</v>
      </c>
      <c r="X127" s="904">
        <v>131</v>
      </c>
      <c r="Y127" s="130"/>
      <c r="Z127" s="768">
        <f t="shared" si="19"/>
        <v>75.833685146095149</v>
      </c>
      <c r="AA127" s="906">
        <v>1725.1663148539049</v>
      </c>
      <c r="AB127" s="770">
        <f t="shared" si="15"/>
        <v>1801</v>
      </c>
      <c r="AD127" s="734" t="str">
        <f t="shared" si="20"/>
        <v>Miami Dade College</v>
      </c>
      <c r="AE127" s="909">
        <v>1683</v>
      </c>
      <c r="AF127" s="909">
        <v>118</v>
      </c>
      <c r="AG127" s="773">
        <f t="shared" si="16"/>
        <v>1801</v>
      </c>
    </row>
    <row r="128" spans="1:54" ht="25.15" customHeight="1">
      <c r="A128" s="734" t="str">
        <f t="shared" si="8"/>
        <v>North Florida Community College</v>
      </c>
      <c r="B128" s="881">
        <v>12</v>
      </c>
      <c r="C128" s="97"/>
      <c r="D128" s="755">
        <f t="shared" si="9"/>
        <v>12</v>
      </c>
      <c r="E128" s="881">
        <v>359.45430563406819</v>
      </c>
      <c r="F128" s="884">
        <v>9.4938760128132653</v>
      </c>
      <c r="G128" s="755">
        <f t="shared" si="10"/>
        <v>368.94818164688144</v>
      </c>
      <c r="H128" s="888">
        <v>158.02937915742797</v>
      </c>
      <c r="I128" s="889">
        <v>8.2039911308203983</v>
      </c>
      <c r="J128" s="755">
        <f t="shared" si="17"/>
        <v>166.23337028824835</v>
      </c>
      <c r="K128" s="894">
        <v>13.116504854368932</v>
      </c>
      <c r="L128" s="895">
        <v>0.88349514563106801</v>
      </c>
      <c r="M128" s="759">
        <f t="shared" si="11"/>
        <v>14</v>
      </c>
      <c r="N128" s="894">
        <v>0</v>
      </c>
      <c r="O128" s="895">
        <v>0</v>
      </c>
      <c r="P128" s="759">
        <f t="shared" si="12"/>
        <v>0</v>
      </c>
      <c r="Q128" s="894">
        <v>97.092469018112482</v>
      </c>
      <c r="R128" s="899">
        <v>3.5033365109628218</v>
      </c>
      <c r="S128" s="755">
        <f t="shared" si="13"/>
        <v>100.59580552907531</v>
      </c>
      <c r="T128" s="85">
        <f t="shared" si="14"/>
        <v>661.77735746420512</v>
      </c>
      <c r="V128" s="764">
        <f t="shared" si="18"/>
        <v>0</v>
      </c>
      <c r="W128" s="903">
        <v>0</v>
      </c>
      <c r="X128" s="904">
        <v>0</v>
      </c>
      <c r="Y128" s="130"/>
      <c r="Z128" s="768">
        <f t="shared" si="19"/>
        <v>0</v>
      </c>
      <c r="AA128" s="906">
        <v>0</v>
      </c>
      <c r="AB128" s="770">
        <f t="shared" si="15"/>
        <v>0</v>
      </c>
      <c r="AD128" s="734" t="str">
        <f t="shared" si="20"/>
        <v>North Florida Community College</v>
      </c>
      <c r="AE128" s="909">
        <v>0</v>
      </c>
      <c r="AF128" s="909">
        <v>0</v>
      </c>
      <c r="AG128" s="773">
        <f t="shared" si="16"/>
        <v>0</v>
      </c>
    </row>
    <row r="129" spans="1:48" ht="25.15" customHeight="1">
      <c r="A129" s="734" t="str">
        <f t="shared" si="8"/>
        <v>Northwest Florida State College</v>
      </c>
      <c r="B129" s="881">
        <v>307</v>
      </c>
      <c r="C129" s="97"/>
      <c r="D129" s="755">
        <f t="shared" si="9"/>
        <v>307</v>
      </c>
      <c r="E129" s="881">
        <v>2204.4106850943681</v>
      </c>
      <c r="F129" s="884">
        <v>37.514117996730569</v>
      </c>
      <c r="G129" s="755">
        <f t="shared" si="10"/>
        <v>2241.9248030910985</v>
      </c>
      <c r="H129" s="888">
        <v>524.68822791614411</v>
      </c>
      <c r="I129" s="889">
        <v>9.4723167891058946</v>
      </c>
      <c r="J129" s="755">
        <f t="shared" si="17"/>
        <v>534.16054470525</v>
      </c>
      <c r="K129" s="894">
        <v>87.616080402010056</v>
      </c>
      <c r="L129" s="895">
        <v>3.3839195979899501</v>
      </c>
      <c r="M129" s="759">
        <f t="shared" si="11"/>
        <v>91</v>
      </c>
      <c r="N129" s="894">
        <v>0</v>
      </c>
      <c r="O129" s="895">
        <v>0</v>
      </c>
      <c r="P129" s="759">
        <f t="shared" si="12"/>
        <v>0</v>
      </c>
      <c r="Q129" s="894">
        <v>214.44313524590163</v>
      </c>
      <c r="R129" s="899">
        <v>2.5568647540983607</v>
      </c>
      <c r="S129" s="755">
        <f t="shared" si="13"/>
        <v>217</v>
      </c>
      <c r="T129" s="85">
        <f t="shared" si="14"/>
        <v>3391.0853477963483</v>
      </c>
      <c r="V129" s="764">
        <f t="shared" si="18"/>
        <v>0</v>
      </c>
      <c r="W129" s="903">
        <v>0</v>
      </c>
      <c r="X129" s="904">
        <v>0</v>
      </c>
      <c r="Y129" s="130"/>
      <c r="Z129" s="768">
        <f t="shared" si="19"/>
        <v>132.49212303075768</v>
      </c>
      <c r="AA129" s="906">
        <v>1.5078769692423104</v>
      </c>
      <c r="AB129" s="770">
        <f t="shared" si="15"/>
        <v>134</v>
      </c>
      <c r="AD129" s="734" t="str">
        <f t="shared" si="20"/>
        <v>Northwest Florida State College</v>
      </c>
      <c r="AE129" s="909">
        <v>100</v>
      </c>
      <c r="AF129" s="909">
        <v>34</v>
      </c>
      <c r="AG129" s="773">
        <f t="shared" si="16"/>
        <v>134</v>
      </c>
    </row>
    <row r="130" spans="1:48" ht="25.15" customHeight="1">
      <c r="A130" s="734" t="str">
        <f t="shared" si="8"/>
        <v>Palm Beach State College</v>
      </c>
      <c r="B130" s="881">
        <v>741</v>
      </c>
      <c r="C130" s="97"/>
      <c r="D130" s="755">
        <f t="shared" si="9"/>
        <v>741</v>
      </c>
      <c r="E130" s="881">
        <v>14968.360284689574</v>
      </c>
      <c r="F130" s="884">
        <v>575.58790626800214</v>
      </c>
      <c r="G130" s="755">
        <f t="shared" si="10"/>
        <v>15543.948190957575</v>
      </c>
      <c r="H130" s="888">
        <v>1539.665986170563</v>
      </c>
      <c r="I130" s="889">
        <v>34.254132367467889</v>
      </c>
      <c r="J130" s="755">
        <f t="shared" si="17"/>
        <v>1573.9201185380309</v>
      </c>
      <c r="K130" s="894">
        <v>679.23233973050219</v>
      </c>
      <c r="L130" s="895">
        <v>40.767660269497753</v>
      </c>
      <c r="M130" s="759">
        <f t="shared" si="11"/>
        <v>720</v>
      </c>
      <c r="N130" s="894">
        <v>25.666666666666668</v>
      </c>
      <c r="O130" s="895">
        <v>0.33333333333333331</v>
      </c>
      <c r="P130" s="759">
        <f t="shared" si="12"/>
        <v>26</v>
      </c>
      <c r="Q130" s="894">
        <v>883.1</v>
      </c>
      <c r="R130" s="899">
        <v>13.9</v>
      </c>
      <c r="S130" s="755">
        <f t="shared" si="13"/>
        <v>897</v>
      </c>
      <c r="T130" s="85">
        <f t="shared" si="14"/>
        <v>19501.868309495607</v>
      </c>
      <c r="V130" s="764">
        <f t="shared" si="18"/>
        <v>0</v>
      </c>
      <c r="W130" s="903">
        <v>0</v>
      </c>
      <c r="X130" s="904">
        <v>0</v>
      </c>
      <c r="Y130" s="130"/>
      <c r="Z130" s="768">
        <f t="shared" si="19"/>
        <v>0</v>
      </c>
      <c r="AA130" s="906">
        <v>0</v>
      </c>
      <c r="AB130" s="770">
        <f t="shared" si="15"/>
        <v>0</v>
      </c>
      <c r="AD130" s="734" t="str">
        <f t="shared" si="20"/>
        <v>Palm Beach State College</v>
      </c>
      <c r="AE130" s="909">
        <v>0</v>
      </c>
      <c r="AF130" s="909">
        <v>0</v>
      </c>
      <c r="AG130" s="773">
        <f t="shared" si="16"/>
        <v>0</v>
      </c>
    </row>
    <row r="131" spans="1:48" ht="25.15" customHeight="1">
      <c r="A131" s="734" t="str">
        <f t="shared" si="8"/>
        <v>Pasco-Hernando State College</v>
      </c>
      <c r="B131" s="881">
        <v>407</v>
      </c>
      <c r="C131" s="97"/>
      <c r="D131" s="755">
        <f t="shared" si="9"/>
        <v>407</v>
      </c>
      <c r="E131" s="881">
        <v>3557.9648163661213</v>
      </c>
      <c r="F131" s="884">
        <v>32.688153079670215</v>
      </c>
      <c r="G131" s="755">
        <f t="shared" si="10"/>
        <v>3590.6529694457918</v>
      </c>
      <c r="H131" s="888">
        <v>1982.3773477787765</v>
      </c>
      <c r="I131" s="889">
        <v>14.949141316175428</v>
      </c>
      <c r="J131" s="755">
        <f t="shared" si="17"/>
        <v>1997.326489094952</v>
      </c>
      <c r="K131" s="894">
        <v>343.26856998484084</v>
      </c>
      <c r="L131" s="895">
        <v>5.7314300151591704</v>
      </c>
      <c r="M131" s="759">
        <f t="shared" si="11"/>
        <v>349</v>
      </c>
      <c r="N131" s="894">
        <v>22</v>
      </c>
      <c r="O131" s="895">
        <v>0</v>
      </c>
      <c r="P131" s="759">
        <f t="shared" si="12"/>
        <v>22</v>
      </c>
      <c r="Q131" s="894">
        <v>322.88002399520093</v>
      </c>
      <c r="R131" s="899">
        <v>8.2147570485902826</v>
      </c>
      <c r="S131" s="755">
        <f t="shared" si="13"/>
        <v>331.09478104379122</v>
      </c>
      <c r="T131" s="85">
        <f t="shared" si="14"/>
        <v>6697.0742395845346</v>
      </c>
      <c r="V131" s="764">
        <f t="shared" si="18"/>
        <v>0</v>
      </c>
      <c r="W131" s="903">
        <v>0</v>
      </c>
      <c r="X131" s="904">
        <v>0</v>
      </c>
      <c r="Y131" s="130"/>
      <c r="Z131" s="768">
        <f t="shared" si="19"/>
        <v>0</v>
      </c>
      <c r="AA131" s="906">
        <v>0</v>
      </c>
      <c r="AB131" s="770">
        <f t="shared" si="15"/>
        <v>0</v>
      </c>
      <c r="AD131" s="734" t="str">
        <f t="shared" si="20"/>
        <v>Pasco-Hernando State College</v>
      </c>
      <c r="AE131" s="909">
        <v>0</v>
      </c>
      <c r="AF131" s="909">
        <v>0</v>
      </c>
      <c r="AG131" s="773">
        <f t="shared" si="16"/>
        <v>0</v>
      </c>
    </row>
    <row r="132" spans="1:48" ht="25.15" customHeight="1">
      <c r="A132" s="734" t="str">
        <f t="shared" si="8"/>
        <v>Pensacola State College</v>
      </c>
      <c r="B132" s="881">
        <v>322</v>
      </c>
      <c r="C132" s="97"/>
      <c r="D132" s="755">
        <f t="shared" si="9"/>
        <v>322</v>
      </c>
      <c r="E132" s="881">
        <v>3674.7936193720648</v>
      </c>
      <c r="F132" s="884">
        <v>67.998872111223648</v>
      </c>
      <c r="G132" s="755">
        <f t="shared" si="10"/>
        <v>3742.7924914832884</v>
      </c>
      <c r="H132" s="888">
        <v>1421.9021233569263</v>
      </c>
      <c r="I132" s="889">
        <v>16.151263902932254</v>
      </c>
      <c r="J132" s="755">
        <f t="shared" si="17"/>
        <v>1438.0533872598585</v>
      </c>
      <c r="K132" s="894">
        <v>254.58139534883722</v>
      </c>
      <c r="L132" s="895">
        <v>12.418604651162788</v>
      </c>
      <c r="M132" s="759">
        <f t="shared" si="11"/>
        <v>267</v>
      </c>
      <c r="N132" s="894">
        <v>0</v>
      </c>
      <c r="O132" s="895">
        <v>0</v>
      </c>
      <c r="P132" s="759">
        <f t="shared" si="12"/>
        <v>0</v>
      </c>
      <c r="Q132" s="894">
        <v>362.40357529794147</v>
      </c>
      <c r="R132" s="899">
        <v>6.5964247020585045</v>
      </c>
      <c r="S132" s="755">
        <f t="shared" si="13"/>
        <v>369</v>
      </c>
      <c r="T132" s="85">
        <f t="shared" si="14"/>
        <v>6138.8458787431464</v>
      </c>
      <c r="V132" s="764">
        <f t="shared" si="18"/>
        <v>0</v>
      </c>
      <c r="W132" s="903">
        <v>0</v>
      </c>
      <c r="X132" s="904">
        <v>0</v>
      </c>
      <c r="Y132" s="130"/>
      <c r="Z132" s="768">
        <f t="shared" si="19"/>
        <v>345.20357442055291</v>
      </c>
      <c r="AA132" s="906">
        <v>12.796425579447082</v>
      </c>
      <c r="AB132" s="770">
        <f t="shared" si="15"/>
        <v>358</v>
      </c>
      <c r="AD132" s="734" t="str">
        <f t="shared" si="20"/>
        <v>Pensacola State College</v>
      </c>
      <c r="AE132" s="909">
        <v>115</v>
      </c>
      <c r="AF132" s="909">
        <v>243</v>
      </c>
      <c r="AG132" s="773">
        <f t="shared" si="16"/>
        <v>358</v>
      </c>
    </row>
    <row r="133" spans="1:48" ht="25.15" customHeight="1">
      <c r="A133" s="734" t="str">
        <f t="shared" si="8"/>
        <v>Polk State College</v>
      </c>
      <c r="B133" s="881">
        <v>751</v>
      </c>
      <c r="C133" s="97"/>
      <c r="D133" s="755">
        <f t="shared" si="9"/>
        <v>751</v>
      </c>
      <c r="E133" s="881">
        <v>3176.8699104234529</v>
      </c>
      <c r="F133" s="884">
        <v>58.870114006514662</v>
      </c>
      <c r="G133" s="755">
        <f t="shared" si="10"/>
        <v>3235.7400244299674</v>
      </c>
      <c r="H133" s="888">
        <v>1453.1648548407725</v>
      </c>
      <c r="I133" s="889">
        <v>17.475892057807904</v>
      </c>
      <c r="J133" s="755">
        <f t="shared" si="17"/>
        <v>1470.6407468985803</v>
      </c>
      <c r="K133" s="894">
        <v>130.78020035356511</v>
      </c>
      <c r="L133" s="895">
        <v>10.219799646434884</v>
      </c>
      <c r="M133" s="759">
        <f t="shared" si="11"/>
        <v>141</v>
      </c>
      <c r="N133" s="894">
        <v>50.465968586387433</v>
      </c>
      <c r="O133" s="895">
        <v>0.53403141361256545</v>
      </c>
      <c r="P133" s="759">
        <f t="shared" si="12"/>
        <v>51</v>
      </c>
      <c r="Q133" s="894">
        <v>89</v>
      </c>
      <c r="R133" s="899">
        <v>0</v>
      </c>
      <c r="S133" s="755">
        <f t="shared" si="13"/>
        <v>89</v>
      </c>
      <c r="T133" s="85">
        <f t="shared" si="14"/>
        <v>5738.3807713285478</v>
      </c>
      <c r="V133" s="764">
        <f t="shared" si="18"/>
        <v>0</v>
      </c>
      <c r="W133" s="903">
        <v>0</v>
      </c>
      <c r="X133" s="904">
        <v>0</v>
      </c>
      <c r="Y133" s="130"/>
      <c r="Z133" s="768">
        <f t="shared" si="19"/>
        <v>0</v>
      </c>
      <c r="AA133" s="906">
        <v>0</v>
      </c>
      <c r="AB133" s="770">
        <f t="shared" si="15"/>
        <v>0</v>
      </c>
      <c r="AD133" s="734" t="str">
        <f t="shared" si="20"/>
        <v>Polk State College</v>
      </c>
      <c r="AE133" s="909">
        <v>0</v>
      </c>
      <c r="AF133" s="909">
        <v>0</v>
      </c>
      <c r="AG133" s="773">
        <f t="shared" si="16"/>
        <v>0</v>
      </c>
    </row>
    <row r="134" spans="1:48" ht="25.15" customHeight="1">
      <c r="A134" s="734" t="str">
        <f t="shared" si="8"/>
        <v>St. Johns River State College</v>
      </c>
      <c r="B134" s="881">
        <v>191</v>
      </c>
      <c r="C134" s="97"/>
      <c r="D134" s="755">
        <f t="shared" si="9"/>
        <v>191</v>
      </c>
      <c r="E134" s="881">
        <v>2379.0950759559983</v>
      </c>
      <c r="F134" s="884">
        <v>39.749214248297534</v>
      </c>
      <c r="G134" s="755">
        <f t="shared" si="10"/>
        <v>2418.8442902042957</v>
      </c>
      <c r="H134" s="888">
        <v>803.97399133044348</v>
      </c>
      <c r="I134" s="889">
        <v>8.4461487162387456</v>
      </c>
      <c r="J134" s="755">
        <f t="shared" si="17"/>
        <v>812.42014004668226</v>
      </c>
      <c r="K134" s="894">
        <v>81.318135764944273</v>
      </c>
      <c r="L134" s="895">
        <v>1.6818642350557245</v>
      </c>
      <c r="M134" s="759">
        <f t="shared" si="11"/>
        <v>83</v>
      </c>
      <c r="N134" s="894">
        <v>26.830188679245282</v>
      </c>
      <c r="O134" s="895">
        <v>0.169811320754717</v>
      </c>
      <c r="P134" s="759">
        <f t="shared" si="12"/>
        <v>27</v>
      </c>
      <c r="Q134" s="894">
        <v>99.6</v>
      </c>
      <c r="R134" s="899">
        <v>1.4</v>
      </c>
      <c r="S134" s="755">
        <f t="shared" si="13"/>
        <v>101</v>
      </c>
      <c r="T134" s="85">
        <f t="shared" si="14"/>
        <v>3633.264430250978</v>
      </c>
      <c r="V134" s="764">
        <f t="shared" si="18"/>
        <v>0</v>
      </c>
      <c r="W134" s="903">
        <v>0</v>
      </c>
      <c r="X134" s="904">
        <v>0</v>
      </c>
      <c r="Y134" s="130"/>
      <c r="Z134" s="768">
        <f t="shared" si="19"/>
        <v>59</v>
      </c>
      <c r="AA134" s="906">
        <v>0</v>
      </c>
      <c r="AB134" s="770">
        <f t="shared" si="15"/>
        <v>59</v>
      </c>
      <c r="AD134" s="734" t="str">
        <f t="shared" si="20"/>
        <v>St. Johns River State College</v>
      </c>
      <c r="AE134" s="909">
        <v>35</v>
      </c>
      <c r="AF134" s="909">
        <v>24</v>
      </c>
      <c r="AG134" s="773">
        <f t="shared" si="16"/>
        <v>59</v>
      </c>
    </row>
    <row r="135" spans="1:48" ht="25.15" customHeight="1">
      <c r="A135" s="734" t="str">
        <f t="shared" si="8"/>
        <v>St. Petersburg College</v>
      </c>
      <c r="B135" s="881">
        <v>2832</v>
      </c>
      <c r="C135" s="97"/>
      <c r="D135" s="755">
        <f t="shared" si="9"/>
        <v>2832</v>
      </c>
      <c r="E135" s="881">
        <v>8768.7121733149943</v>
      </c>
      <c r="F135" s="884">
        <v>301.6937184777625</v>
      </c>
      <c r="G135" s="755">
        <f t="shared" si="10"/>
        <v>9070.4058917927559</v>
      </c>
      <c r="H135" s="888">
        <v>4662.4504490025511</v>
      </c>
      <c r="I135" s="889">
        <v>117.74112541937039</v>
      </c>
      <c r="J135" s="755">
        <f t="shared" si="17"/>
        <v>4780.1915744219214</v>
      </c>
      <c r="K135" s="894">
        <v>656.70937742185481</v>
      </c>
      <c r="L135" s="895">
        <v>37.290622578145189</v>
      </c>
      <c r="M135" s="759">
        <f t="shared" si="11"/>
        <v>694</v>
      </c>
      <c r="N135" s="894">
        <v>0</v>
      </c>
      <c r="O135" s="895">
        <v>0</v>
      </c>
      <c r="P135" s="759">
        <f t="shared" si="12"/>
        <v>0</v>
      </c>
      <c r="Q135" s="894">
        <v>124.99689681923972</v>
      </c>
      <c r="R135" s="899">
        <v>4.003103180760279</v>
      </c>
      <c r="S135" s="755">
        <f t="shared" si="13"/>
        <v>129</v>
      </c>
      <c r="T135" s="85">
        <f t="shared" si="14"/>
        <v>17505.597466214676</v>
      </c>
      <c r="V135" s="764">
        <f t="shared" si="18"/>
        <v>0</v>
      </c>
      <c r="W135" s="903">
        <v>0</v>
      </c>
      <c r="X135" s="904">
        <v>0</v>
      </c>
      <c r="Y135" s="130"/>
      <c r="Z135" s="768">
        <f t="shared" si="19"/>
        <v>0</v>
      </c>
      <c r="AA135" s="906">
        <v>0</v>
      </c>
      <c r="AB135" s="770">
        <f t="shared" si="15"/>
        <v>0</v>
      </c>
      <c r="AD135" s="734" t="str">
        <f t="shared" si="20"/>
        <v>St. Petersburg College</v>
      </c>
      <c r="AE135" s="909">
        <v>0</v>
      </c>
      <c r="AF135" s="909">
        <v>0</v>
      </c>
      <c r="AG135" s="773">
        <f t="shared" si="16"/>
        <v>0</v>
      </c>
    </row>
    <row r="136" spans="1:48" ht="25.15" customHeight="1">
      <c r="A136" s="734" t="str">
        <f t="shared" si="8"/>
        <v>Santa Fe College</v>
      </c>
      <c r="B136" s="881">
        <v>445</v>
      </c>
      <c r="C136" s="97"/>
      <c r="D136" s="755">
        <f t="shared" si="9"/>
        <v>445</v>
      </c>
      <c r="E136" s="881">
        <v>6203.2045656604341</v>
      </c>
      <c r="F136" s="884">
        <v>439.70112568560137</v>
      </c>
      <c r="G136" s="755">
        <f t="shared" si="10"/>
        <v>6642.9056913460354</v>
      </c>
      <c r="H136" s="888">
        <v>2174.8678460820502</v>
      </c>
      <c r="I136" s="889">
        <v>104.54766450299097</v>
      </c>
      <c r="J136" s="755">
        <f t="shared" si="17"/>
        <v>2279.4155105850409</v>
      </c>
      <c r="K136" s="894">
        <v>350.3597430406852</v>
      </c>
      <c r="L136" s="895">
        <v>83.640256959314769</v>
      </c>
      <c r="M136" s="759">
        <f t="shared" si="11"/>
        <v>434</v>
      </c>
      <c r="N136" s="894">
        <v>3.8016528925619832</v>
      </c>
      <c r="O136" s="895">
        <v>0.19834710743801653</v>
      </c>
      <c r="P136" s="759">
        <f t="shared" si="12"/>
        <v>4</v>
      </c>
      <c r="Q136" s="894">
        <v>220.98769771528998</v>
      </c>
      <c r="R136" s="899">
        <v>6.5114235500878737</v>
      </c>
      <c r="S136" s="755">
        <f t="shared" si="13"/>
        <v>227.49912126537785</v>
      </c>
      <c r="T136" s="85">
        <f t="shared" si="14"/>
        <v>10032.820323196454</v>
      </c>
      <c r="V136" s="764">
        <f t="shared" si="18"/>
        <v>0</v>
      </c>
      <c r="W136" s="903">
        <v>0</v>
      </c>
      <c r="X136" s="904">
        <v>0</v>
      </c>
      <c r="Y136" s="130"/>
      <c r="Z136" s="768">
        <f t="shared" si="19"/>
        <v>43.515780730897006</v>
      </c>
      <c r="AA136" s="906">
        <v>77.484219269102994</v>
      </c>
      <c r="AB136" s="770">
        <f t="shared" si="15"/>
        <v>121</v>
      </c>
      <c r="AD136" s="734" t="str">
        <f t="shared" si="20"/>
        <v>Santa Fe College</v>
      </c>
      <c r="AE136" s="909">
        <v>108</v>
      </c>
      <c r="AF136" s="909">
        <v>13</v>
      </c>
      <c r="AG136" s="773">
        <f t="shared" si="16"/>
        <v>121</v>
      </c>
    </row>
    <row r="137" spans="1:48" ht="25.15" customHeight="1">
      <c r="A137" s="734" t="str">
        <f t="shared" si="8"/>
        <v>Seminole State College of Florida</v>
      </c>
      <c r="B137" s="881">
        <v>937</v>
      </c>
      <c r="C137" s="97"/>
      <c r="D137" s="755">
        <f t="shared" si="9"/>
        <v>937</v>
      </c>
      <c r="E137" s="881">
        <v>6657.0955263996448</v>
      </c>
      <c r="F137" s="884">
        <v>181.29494728383605</v>
      </c>
      <c r="G137" s="755">
        <f t="shared" si="10"/>
        <v>6838.3904736834811</v>
      </c>
      <c r="H137" s="888">
        <v>2587.7843510751309</v>
      </c>
      <c r="I137" s="889">
        <v>53.841532656873873</v>
      </c>
      <c r="J137" s="755">
        <f t="shared" si="17"/>
        <v>2641.6258837320047</v>
      </c>
      <c r="K137" s="894">
        <v>311.09008528784648</v>
      </c>
      <c r="L137" s="895">
        <v>18.909914712153519</v>
      </c>
      <c r="M137" s="759">
        <f t="shared" si="11"/>
        <v>330</v>
      </c>
      <c r="N137" s="894">
        <v>60</v>
      </c>
      <c r="O137" s="895">
        <v>0</v>
      </c>
      <c r="P137" s="759">
        <f t="shared" si="12"/>
        <v>60</v>
      </c>
      <c r="Q137" s="894">
        <v>217.60195268494181</v>
      </c>
      <c r="R137" s="899">
        <v>1.3980473150582051</v>
      </c>
      <c r="S137" s="755">
        <f t="shared" si="13"/>
        <v>219</v>
      </c>
      <c r="T137" s="85">
        <f t="shared" si="14"/>
        <v>11026.016357415487</v>
      </c>
      <c r="V137" s="764">
        <f t="shared" si="18"/>
        <v>0</v>
      </c>
      <c r="W137" s="903">
        <v>0</v>
      </c>
      <c r="X137" s="904">
        <v>0</v>
      </c>
      <c r="Y137" s="130"/>
      <c r="Z137" s="768">
        <f t="shared" si="19"/>
        <v>291.91443193449334</v>
      </c>
      <c r="AA137" s="906">
        <v>250.08556806550666</v>
      </c>
      <c r="AB137" s="770">
        <f t="shared" si="15"/>
        <v>542</v>
      </c>
      <c r="AD137" s="734" t="str">
        <f t="shared" si="20"/>
        <v>Seminole State College of Florida</v>
      </c>
      <c r="AE137" s="909">
        <v>375</v>
      </c>
      <c r="AF137" s="909">
        <v>167</v>
      </c>
      <c r="AG137" s="773">
        <f t="shared" si="16"/>
        <v>542</v>
      </c>
    </row>
    <row r="138" spans="1:48" ht="25.15" customHeight="1">
      <c r="A138" s="734" t="str">
        <f t="shared" si="8"/>
        <v>South Florida State College</v>
      </c>
      <c r="B138" s="881">
        <v>105</v>
      </c>
      <c r="C138" s="97"/>
      <c r="D138" s="755">
        <f t="shared" si="9"/>
        <v>105</v>
      </c>
      <c r="E138" s="881">
        <v>1235.0049578582054</v>
      </c>
      <c r="F138" s="884">
        <v>14.59033925915433</v>
      </c>
      <c r="G138" s="755">
        <f t="shared" si="10"/>
        <v>1249.5952971173597</v>
      </c>
      <c r="H138" s="888">
        <v>3</v>
      </c>
      <c r="I138" s="889">
        <v>0</v>
      </c>
      <c r="J138" s="755">
        <f t="shared" si="17"/>
        <v>3</v>
      </c>
      <c r="K138" s="894">
        <v>34.540983606557376</v>
      </c>
      <c r="L138" s="895">
        <v>0.45901639344262296</v>
      </c>
      <c r="M138" s="759">
        <f t="shared" si="11"/>
        <v>35</v>
      </c>
      <c r="N138" s="894">
        <v>0</v>
      </c>
      <c r="O138" s="895">
        <v>0</v>
      </c>
      <c r="P138" s="759">
        <f t="shared" si="12"/>
        <v>0</v>
      </c>
      <c r="Q138" s="894">
        <v>256.60620449509338</v>
      </c>
      <c r="R138" s="899">
        <v>3.3529597974042424</v>
      </c>
      <c r="S138" s="755">
        <f t="shared" si="13"/>
        <v>259.95916429249763</v>
      </c>
      <c r="T138" s="85">
        <f t="shared" si="14"/>
        <v>1652.5544614098574</v>
      </c>
      <c r="V138" s="764">
        <f t="shared" si="18"/>
        <v>0</v>
      </c>
      <c r="W138" s="903">
        <v>0</v>
      </c>
      <c r="X138" s="904">
        <v>0</v>
      </c>
      <c r="Y138" s="130"/>
      <c r="Z138" s="768">
        <f t="shared" si="19"/>
        <v>196.0035874439462</v>
      </c>
      <c r="AA138" s="906">
        <v>151.9964125560538</v>
      </c>
      <c r="AB138" s="770">
        <f t="shared" si="15"/>
        <v>348</v>
      </c>
      <c r="AD138" s="734" t="str">
        <f t="shared" si="20"/>
        <v>South Florida State College</v>
      </c>
      <c r="AE138" s="909">
        <v>322</v>
      </c>
      <c r="AF138" s="909">
        <v>26</v>
      </c>
      <c r="AG138" s="773">
        <f t="shared" si="16"/>
        <v>348</v>
      </c>
    </row>
    <row r="139" spans="1:48" ht="25.15" customHeight="1">
      <c r="A139" s="734" t="str">
        <f t="shared" si="8"/>
        <v>Tallahassee Community College</v>
      </c>
      <c r="B139" s="881">
        <v>17</v>
      </c>
      <c r="C139" s="97"/>
      <c r="D139" s="755">
        <f t="shared" si="9"/>
        <v>17</v>
      </c>
      <c r="E139" s="881">
        <v>6885.3524497444632</v>
      </c>
      <c r="F139" s="884">
        <v>314.87149574105621</v>
      </c>
      <c r="G139" s="755">
        <f t="shared" si="10"/>
        <v>7200.2239454855198</v>
      </c>
      <c r="H139" s="888">
        <v>1006.5994002998501</v>
      </c>
      <c r="I139" s="889">
        <v>24.6119940029985</v>
      </c>
      <c r="J139" s="755">
        <f t="shared" si="17"/>
        <v>1031.2113943028487</v>
      </c>
      <c r="K139" s="894">
        <v>335.10548523206751</v>
      </c>
      <c r="L139" s="895">
        <v>44.894514767932485</v>
      </c>
      <c r="M139" s="759">
        <f t="shared" si="11"/>
        <v>380</v>
      </c>
      <c r="N139" s="894">
        <v>0</v>
      </c>
      <c r="O139" s="895">
        <v>0</v>
      </c>
      <c r="P139" s="759">
        <f t="shared" si="12"/>
        <v>0</v>
      </c>
      <c r="Q139" s="894">
        <v>270.5</v>
      </c>
      <c r="R139" s="899">
        <v>2.5</v>
      </c>
      <c r="S139" s="755">
        <f t="shared" si="13"/>
        <v>273</v>
      </c>
      <c r="T139" s="85">
        <f t="shared" si="14"/>
        <v>8901.4353397883679</v>
      </c>
      <c r="V139" s="764">
        <f t="shared" si="18"/>
        <v>0</v>
      </c>
      <c r="W139" s="903">
        <v>0</v>
      </c>
      <c r="X139" s="904">
        <v>0</v>
      </c>
      <c r="Y139" s="130"/>
      <c r="Z139" s="768">
        <f t="shared" si="19"/>
        <v>12.706043956043949</v>
      </c>
      <c r="AA139" s="906">
        <v>61.293956043956051</v>
      </c>
      <c r="AB139" s="770">
        <f t="shared" si="15"/>
        <v>74</v>
      </c>
      <c r="AD139" s="734" t="str">
        <f t="shared" si="20"/>
        <v>Tallahassee Community College</v>
      </c>
      <c r="AE139" s="909">
        <v>59</v>
      </c>
      <c r="AF139" s="909">
        <v>15</v>
      </c>
      <c r="AG139" s="773">
        <f t="shared" si="16"/>
        <v>74</v>
      </c>
    </row>
    <row r="140" spans="1:48" ht="25.15" customHeight="1" thickBot="1">
      <c r="A140" s="735" t="str">
        <f t="shared" si="8"/>
        <v>Valencia College</v>
      </c>
      <c r="B140" s="882">
        <v>182</v>
      </c>
      <c r="C140" s="92"/>
      <c r="D140" s="756">
        <f t="shared" si="9"/>
        <v>182</v>
      </c>
      <c r="E140" s="882">
        <v>18920.647992739996</v>
      </c>
      <c r="F140" s="885">
        <v>1230.6120763048825</v>
      </c>
      <c r="G140" s="756">
        <f t="shared" si="10"/>
        <v>20151.260069044878</v>
      </c>
      <c r="H140" s="890">
        <v>7274.2798146400555</v>
      </c>
      <c r="I140" s="891">
        <v>369.31666126737753</v>
      </c>
      <c r="J140" s="758">
        <f t="shared" si="17"/>
        <v>7643.5964759074332</v>
      </c>
      <c r="K140" s="896">
        <v>884.67894532764637</v>
      </c>
      <c r="L140" s="897">
        <v>111.32105467235363</v>
      </c>
      <c r="M140" s="760">
        <f t="shared" si="11"/>
        <v>996</v>
      </c>
      <c r="N140" s="896">
        <v>100.60114285714286</v>
      </c>
      <c r="O140" s="897">
        <v>1.3988571428571428</v>
      </c>
      <c r="P140" s="760">
        <f t="shared" si="12"/>
        <v>102</v>
      </c>
      <c r="Q140" s="896">
        <v>238.11282467532467</v>
      </c>
      <c r="R140" s="900">
        <v>7.8871753246753249</v>
      </c>
      <c r="S140" s="756">
        <f t="shared" si="13"/>
        <v>246</v>
      </c>
      <c r="T140" s="86">
        <f t="shared" si="14"/>
        <v>29320.856544952312</v>
      </c>
      <c r="V140" s="765">
        <f t="shared" si="18"/>
        <v>0</v>
      </c>
      <c r="W140" s="901">
        <v>0</v>
      </c>
      <c r="X140" s="902">
        <v>0</v>
      </c>
      <c r="Y140" s="130"/>
      <c r="Z140" s="769">
        <f t="shared" si="19"/>
        <v>0</v>
      </c>
      <c r="AA140" s="907">
        <v>0</v>
      </c>
      <c r="AB140" s="770">
        <f t="shared" si="15"/>
        <v>0</v>
      </c>
      <c r="AD140" s="735" t="str">
        <f t="shared" si="20"/>
        <v>Valencia College</v>
      </c>
      <c r="AE140" s="910">
        <v>0</v>
      </c>
      <c r="AF140" s="910">
        <v>0</v>
      </c>
      <c r="AG140" s="756">
        <f t="shared" si="16"/>
        <v>0</v>
      </c>
    </row>
    <row r="141" spans="1:48" ht="25.15" customHeight="1" thickBot="1">
      <c r="A141" s="736" t="s">
        <v>2</v>
      </c>
      <c r="B141" s="737">
        <f t="shared" ref="B141" si="21">SUM(B113:B140)</f>
        <v>17058</v>
      </c>
      <c r="C141" s="114"/>
      <c r="D141" s="757">
        <f t="shared" ref="D141:T141" si="22">SUM(D113:D140)</f>
        <v>17058</v>
      </c>
      <c r="E141" s="737">
        <f t="shared" si="22"/>
        <v>183860.86013169232</v>
      </c>
      <c r="F141" s="738">
        <f t="shared" si="22"/>
        <v>7701.435318802829</v>
      </c>
      <c r="G141" s="757">
        <f t="shared" si="22"/>
        <v>191562.29545049515</v>
      </c>
      <c r="H141" s="778">
        <f t="shared" si="22"/>
        <v>52849.400060180284</v>
      </c>
      <c r="I141" s="738">
        <f t="shared" si="22"/>
        <v>1692.7864692593453</v>
      </c>
      <c r="J141" s="757">
        <f t="shared" si="22"/>
        <v>54542.186529439627</v>
      </c>
      <c r="K141" s="778">
        <f t="shared" si="22"/>
        <v>11587.657460202048</v>
      </c>
      <c r="L141" s="780">
        <f t="shared" si="22"/>
        <v>935.34253979795187</v>
      </c>
      <c r="M141" s="761">
        <f t="shared" si="22"/>
        <v>12523</v>
      </c>
      <c r="N141" s="778">
        <f t="shared" si="22"/>
        <v>468.34450736455966</v>
      </c>
      <c r="O141" s="780">
        <f t="shared" si="22"/>
        <v>6.6554926354403561</v>
      </c>
      <c r="P141" s="761">
        <f t="shared" si="22"/>
        <v>475</v>
      </c>
      <c r="Q141" s="777">
        <f t="shared" si="22"/>
        <v>8310.9012131173968</v>
      </c>
      <c r="R141" s="779">
        <f t="shared" si="22"/>
        <v>241.1802433632638</v>
      </c>
      <c r="S141" s="762">
        <f t="shared" si="22"/>
        <v>8552.0814564806606</v>
      </c>
      <c r="T141" s="115">
        <f t="shared" si="22"/>
        <v>284712.56343641545</v>
      </c>
      <c r="U141" s="116"/>
      <c r="V141" s="766">
        <f t="shared" ref="V141:AB141" si="23">SUM(V113:V140)</f>
        <v>11.02755488266464</v>
      </c>
      <c r="W141" s="778">
        <f t="shared" si="23"/>
        <v>126.97244511733535</v>
      </c>
      <c r="X141" s="776">
        <f t="shared" si="23"/>
        <v>138</v>
      </c>
      <c r="Y141" s="117"/>
      <c r="Z141" s="766">
        <f t="shared" si="23"/>
        <v>2156.1873484243793</v>
      </c>
      <c r="AA141" s="777">
        <f t="shared" si="23"/>
        <v>3892.8126515756212</v>
      </c>
      <c r="AB141" s="771">
        <f t="shared" si="23"/>
        <v>6049</v>
      </c>
      <c r="AC141" s="116"/>
      <c r="AD141" s="736" t="s">
        <v>2</v>
      </c>
      <c r="AE141" s="776">
        <f>SUM(AE113:AE140)</f>
        <v>5054</v>
      </c>
      <c r="AF141" s="776">
        <f>SUM(AF113:AF140)</f>
        <v>995</v>
      </c>
      <c r="AG141" s="757">
        <f>SUM(AG113:AG140)</f>
        <v>6049</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4" t="s">
        <v>631</v>
      </c>
      <c r="B145" s="1244"/>
      <c r="C145" s="1244"/>
      <c r="D145" s="1244"/>
      <c r="E145" s="132"/>
    </row>
    <row r="146" spans="1:5">
      <c r="A146" s="1243" t="s">
        <v>630</v>
      </c>
      <c r="B146" s="1243"/>
      <c r="C146" s="1243"/>
      <c r="D146" s="1243"/>
    </row>
    <row r="147" spans="1:5">
      <c r="A147" s="1224" t="s">
        <v>644</v>
      </c>
      <c r="B147" s="1224"/>
      <c r="C147" s="1224"/>
      <c r="D147" s="1224"/>
      <c r="E147" s="1224"/>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D4" sqref="D4"/>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3" t="s">
        <v>259</v>
      </c>
      <c r="B1" s="1263"/>
      <c r="C1" s="1263"/>
      <c r="D1" s="1263"/>
      <c r="E1" s="1263"/>
      <c r="F1" s="1263"/>
      <c r="G1" s="1073"/>
      <c r="H1" s="158"/>
      <c r="I1" s="158"/>
    </row>
    <row r="2" spans="1:53" ht="19.899999999999999" customHeight="1">
      <c r="A2" s="1263" t="s">
        <v>715</v>
      </c>
      <c r="B2" s="1263"/>
      <c r="C2" s="1263"/>
      <c r="D2" s="1263"/>
      <c r="E2" s="1263"/>
      <c r="F2" s="1263"/>
      <c r="G2" s="1073"/>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3"/>
      <c r="B3" s="1263"/>
      <c r="C3" s="1263"/>
      <c r="D3" s="1263"/>
      <c r="E3" s="1263"/>
      <c r="F3" s="1263"/>
      <c r="G3" s="1076"/>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4" t="s">
        <v>753</v>
      </c>
      <c r="B4" s="1264"/>
      <c r="C4" s="1264"/>
      <c r="D4" s="1264"/>
      <c r="E4" s="1264"/>
      <c r="F4" s="1264"/>
      <c r="G4" s="1077"/>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65"/>
      <c r="B5" s="1265"/>
      <c r="C5" s="1265"/>
      <c r="D5" s="1266"/>
      <c r="E5" s="1266"/>
      <c r="F5" s="1266"/>
      <c r="G5" s="161"/>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65"/>
      <c r="B6" s="1265"/>
      <c r="C6" s="1265"/>
      <c r="D6" s="1265"/>
      <c r="E6" s="1265"/>
      <c r="F6" s="1265"/>
      <c r="G6" s="1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67" t="s">
        <v>587</v>
      </c>
      <c r="B7" s="1265"/>
      <c r="C7" s="1268" t="s">
        <v>3</v>
      </c>
      <c r="D7" s="1269" t="s">
        <v>741</v>
      </c>
      <c r="E7" s="1269"/>
      <c r="F7" s="1269"/>
      <c r="G7" s="1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0" t="s">
        <v>4</v>
      </c>
      <c r="B10" s="162"/>
      <c r="C10" s="1270" t="s">
        <v>784</v>
      </c>
      <c r="D10" s="1270"/>
      <c r="E10" s="1270"/>
      <c r="F10" s="1270"/>
      <c r="G10" s="1072"/>
      <c r="H10" s="164"/>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2"/>
      <c r="B11" s="162"/>
      <c r="C11" s="817"/>
      <c r="D11" s="817"/>
      <c r="E11" s="817"/>
      <c r="F11" s="160"/>
      <c r="G11" s="160"/>
      <c r="H11" s="164"/>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5"/>
      <c r="B12" s="165"/>
      <c r="C12" s="1079" t="s">
        <v>581</v>
      </c>
      <c r="D12" s="1079"/>
      <c r="E12" s="1079"/>
      <c r="F12" s="167"/>
      <c r="G12" s="167"/>
      <c r="H12" s="167"/>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3"/>
      <c r="H13" s="167"/>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3"/>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2" t="s">
        <v>5</v>
      </c>
      <c r="B15" s="162"/>
      <c r="C15" s="1081" t="s">
        <v>588</v>
      </c>
      <c r="D15" s="1081"/>
      <c r="E15" s="1081"/>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1"/>
      <c r="B16" s="1081"/>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89">
        <f>IF(+'EXHIBIT A'!E44&gt;=0.0499,+'EXHIBIT A'!E44,"PERCENTAGE DOES NOT MEET STATUTORY GUIDELINES")</f>
        <v>5.9682560616236613E-2</v>
      </c>
      <c r="D17" s="1089"/>
      <c r="E17" s="1089"/>
      <c r="F17" s="1089"/>
      <c r="G17" s="1089"/>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71"/>
      <c r="B18" s="1271"/>
      <c r="C18" s="1272" t="s">
        <v>756</v>
      </c>
      <c r="D18" s="1272"/>
      <c r="E18" s="1272"/>
      <c r="F18" s="1272"/>
      <c r="G18" s="1272"/>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1"/>
      <c r="B19" s="1081"/>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2" t="s">
        <v>6</v>
      </c>
      <c r="B21" s="162"/>
      <c r="C21" s="1080" t="s">
        <v>613</v>
      </c>
      <c r="D21" s="1080"/>
      <c r="E21" s="1080"/>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9"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0"/>
      <c r="B24" s="170"/>
      <c r="C24" s="169" t="s">
        <v>636</v>
      </c>
      <c r="D24" s="169"/>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1"/>
      <c r="B25" s="171"/>
      <c r="C25" s="169" t="s">
        <v>634</v>
      </c>
      <c r="D25" s="169"/>
      <c r="E25" s="172"/>
      <c r="F25" s="169"/>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1"/>
      <c r="B26" s="171"/>
      <c r="C26" s="169" t="s">
        <v>647</v>
      </c>
      <c r="D26" s="169"/>
      <c r="E26" s="172"/>
      <c r="F26" s="169"/>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1"/>
      <c r="B27" s="171"/>
      <c r="C27" s="169" t="s">
        <v>648</v>
      </c>
      <c r="D27" s="169"/>
      <c r="E27" s="169"/>
      <c r="F27" s="169"/>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3"/>
      <c r="B28" s="173"/>
      <c r="C28" s="169"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3"/>
      <c r="B29" s="173"/>
      <c r="C29" s="33" t="s">
        <v>649</v>
      </c>
      <c r="D29" s="169"/>
      <c r="E29" s="169"/>
      <c r="F29" s="169"/>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3"/>
      <c r="B30" s="173"/>
      <c r="C30" s="33"/>
      <c r="D30" s="169"/>
      <c r="E30" s="169"/>
      <c r="F30" s="169"/>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3"/>
      <c r="B31" s="173"/>
      <c r="D31" s="169"/>
      <c r="E31" s="169"/>
      <c r="F31" s="169"/>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4" t="s">
        <v>212</v>
      </c>
      <c r="B32" s="174"/>
      <c r="C32" s="168" t="s">
        <v>580</v>
      </c>
      <c r="D32" s="160"/>
      <c r="E32" s="169"/>
      <c r="F32" s="169"/>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5"/>
      <c r="B33" s="175"/>
      <c r="C33" s="176"/>
      <c r="D33" s="160"/>
      <c r="E33" s="169"/>
      <c r="F33" s="169"/>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5"/>
      <c r="B34" s="175"/>
      <c r="C34" s="784"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5"/>
      <c r="B35" s="175"/>
      <c r="C35" s="177"/>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2" t="s">
        <v>231</v>
      </c>
      <c r="B37" s="162"/>
      <c r="C37" s="168" t="s">
        <v>589</v>
      </c>
      <c r="D37" s="160"/>
      <c r="E37" s="160"/>
      <c r="F37" s="178"/>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8" t="s">
        <v>585</v>
      </c>
      <c r="D38" s="160"/>
      <c r="E38" s="160"/>
      <c r="F38" s="179"/>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0"/>
      <c r="D40" s="181" t="s">
        <v>731</v>
      </c>
      <c r="E40" s="181" t="str">
        <f>D40</f>
        <v>2018-19</v>
      </c>
      <c r="F40" s="182"/>
      <c r="G40" s="183"/>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4"/>
      <c r="D41" s="185" t="s">
        <v>582</v>
      </c>
      <c r="E41" s="186" t="s">
        <v>229</v>
      </c>
      <c r="F41" s="186"/>
      <c r="G41" s="187"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8"/>
      <c r="D42" s="185" t="s">
        <v>225</v>
      </c>
      <c r="E42" s="186" t="s">
        <v>228</v>
      </c>
      <c r="F42" s="186" t="s">
        <v>217</v>
      </c>
      <c r="G42" s="187"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4" t="s">
        <v>221</v>
      </c>
      <c r="D43" s="185" t="s">
        <v>226</v>
      </c>
      <c r="E43" s="186" t="s">
        <v>220</v>
      </c>
      <c r="F43" s="186" t="s">
        <v>218</v>
      </c>
      <c r="G43" s="189"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0" t="s">
        <v>337</v>
      </c>
      <c r="D44" s="191">
        <f>VLOOKUP($D$7,VLOOKUP!$A$113:$S$141,2)*30+D68</f>
        <v>17910</v>
      </c>
      <c r="E44" s="192">
        <f>+'EXHIBIT C'!F10</f>
        <v>18109.216690271271</v>
      </c>
      <c r="F44" s="193">
        <f t="shared" ref="F44:F50" si="0">IF(D44=0,"0",(E44/D44-1))</f>
        <v>1.1123209953728175E-2</v>
      </c>
      <c r="G44" s="194"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5" t="s">
        <v>338</v>
      </c>
      <c r="D45" s="196">
        <f>VLOOKUP($D$7,VLOOKUP!$A$113:$S$141,5)*30+D69</f>
        <v>242127.89409022173</v>
      </c>
      <c r="E45" s="197">
        <f>+'EXHIBIT C'!F11</f>
        <v>231319.83745844109</v>
      </c>
      <c r="F45" s="198">
        <f t="shared" si="0"/>
        <v>-4.4637800499571223E-2</v>
      </c>
      <c r="G45" s="199"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0" t="s">
        <v>27</v>
      </c>
      <c r="D46" s="201">
        <f>VLOOKUP($D$7,VLOOKUP!$A$113:$S$141,8)*30</f>
        <v>16253.714285714284</v>
      </c>
      <c r="E46" s="202">
        <f>+'EXHIBIT C'!F12</f>
        <v>24637.249107252803</v>
      </c>
      <c r="F46" s="198">
        <f t="shared" si="0"/>
        <v>0.51579193987105931</v>
      </c>
      <c r="G46" s="199"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0" t="s">
        <v>527</v>
      </c>
      <c r="D47" s="201">
        <f>VLOOKUP($D$7,VLOOKUP!$A$113:$S$141,17)*30</f>
        <v>848.78048780487802</v>
      </c>
      <c r="E47" s="202">
        <f>+'EXHIBIT C'!F13</f>
        <v>772.9001804803554</v>
      </c>
      <c r="F47" s="198">
        <f t="shared" si="0"/>
        <v>-8.9399212652454763E-2</v>
      </c>
      <c r="G47" s="199"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0" t="s">
        <v>462</v>
      </c>
      <c r="D48" s="201">
        <f>VLOOKUP($D$7,VLOOKUP!$A$113:$S$141,11)*30</f>
        <v>6491.6428033157499</v>
      </c>
      <c r="E48" s="202">
        <f>+'EXHIBIT C'!F14</f>
        <v>8184.4969831301569</v>
      </c>
      <c r="F48" s="198">
        <f t="shared" si="0"/>
        <v>0.26077438810246067</v>
      </c>
      <c r="G48" s="199"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3" t="s">
        <v>246</v>
      </c>
      <c r="D49" s="204">
        <f>VLOOKUP($D$7,VLOOKUP!$A$113:$S$141,14)*30</f>
        <v>0</v>
      </c>
      <c r="E49" s="205">
        <f>+'EXHIBIT C'!F15</f>
        <v>0</v>
      </c>
      <c r="F49" s="206" t="str">
        <f t="shared" si="0"/>
        <v>0</v>
      </c>
      <c r="G49" s="207"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8" t="s">
        <v>2</v>
      </c>
      <c r="D50" s="209">
        <f>SUM(D44:D49)</f>
        <v>283632.03166705667</v>
      </c>
      <c r="E50" s="210">
        <f>+'EXHIBIT C'!F17</f>
        <v>283023.70041957567</v>
      </c>
      <c r="F50" s="211">
        <f t="shared" si="0"/>
        <v>-2.1447903606144347E-3</v>
      </c>
      <c r="G50" s="212"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60" customHeight="1" thickBot="1">
      <c r="C51" s="1273" t="s">
        <v>590</v>
      </c>
      <c r="D51" s="1274"/>
      <c r="E51" s="1274"/>
      <c r="F51" s="1274"/>
      <c r="G51" s="1275"/>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6" t="s">
        <v>461</v>
      </c>
      <c r="D52" s="1087"/>
      <c r="E52" s="1087"/>
      <c r="F52" s="1087"/>
      <c r="G52" s="1088"/>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76" t="s">
        <v>788</v>
      </c>
      <c r="D53" s="1277"/>
      <c r="E53" s="1277"/>
      <c r="F53" s="1277"/>
      <c r="G53" s="1278"/>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1"/>
      <c r="D54" s="1092"/>
      <c r="E54" s="1092"/>
      <c r="F54" s="1092"/>
      <c r="G54" s="1093"/>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1"/>
      <c r="D55" s="1092"/>
      <c r="E55" s="1092"/>
      <c r="F55" s="1092"/>
      <c r="G55" s="1093"/>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1"/>
      <c r="D56" s="1092"/>
      <c r="E56" s="1092"/>
      <c r="F56" s="1092"/>
      <c r="G56" s="1093"/>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1"/>
      <c r="D57" s="1092"/>
      <c r="E57" s="1092"/>
      <c r="F57" s="1092"/>
      <c r="G57" s="1093"/>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1"/>
      <c r="D58" s="1092"/>
      <c r="E58" s="1092"/>
      <c r="F58" s="1092"/>
      <c r="G58" s="1093"/>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1"/>
      <c r="D59" s="1092"/>
      <c r="E59" s="1092"/>
      <c r="F59" s="1092"/>
      <c r="G59" s="1093"/>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1"/>
      <c r="D60" s="1092"/>
      <c r="E60" s="1092"/>
      <c r="F60" s="1092"/>
      <c r="G60" s="1093"/>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1"/>
      <c r="D61" s="1092"/>
      <c r="E61" s="1092"/>
      <c r="F61" s="1092"/>
      <c r="G61" s="1093"/>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4"/>
      <c r="D62" s="1095"/>
      <c r="E62" s="1095"/>
      <c r="F62" s="1095"/>
      <c r="G62" s="1096"/>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19.899999999999999" customHeight="1" thickBot="1">
      <c r="C63" s="215"/>
      <c r="D63" s="216"/>
      <c r="E63" s="217"/>
      <c r="F63" s="217"/>
      <c r="G63" s="218"/>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0"/>
      <c r="D64" s="181" t="str">
        <f>D40</f>
        <v>2018-19</v>
      </c>
      <c r="E64" s="181" t="str">
        <f>E40</f>
        <v>2018-19</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0" t="s">
        <v>337</v>
      </c>
      <c r="D68" s="223">
        <f>VLOOKUP($D$7,VLOOKUP!$A$113:$S$141,3)*30</f>
        <v>0</v>
      </c>
      <c r="E68" s="224">
        <f>+'EXHIBIT C'!D19</f>
        <v>255.4564830566473</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5" t="s">
        <v>338</v>
      </c>
      <c r="D69" s="223">
        <f>VLOOKUP($D$7,VLOOKUP!$A$113:$S$141,6)*30</f>
        <v>7258.7424395161288</v>
      </c>
      <c r="E69" s="227">
        <f>+'EXHIBIT C'!D20</f>
        <v>12437.905574469831</v>
      </c>
      <c r="F69" s="225">
        <f t="shared" si="2"/>
        <v>0.71350694395198122</v>
      </c>
      <c r="G69" s="226"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0" t="s">
        <v>27</v>
      </c>
      <c r="D70" s="228">
        <f>VLOOKUP($D$7,VLOOKUP!$A$113:$S$141,9)*30</f>
        <v>120.76623376623377</v>
      </c>
      <c r="E70" s="229">
        <f>+'EXHIBIT C'!D21</f>
        <v>961.6760326510522</v>
      </c>
      <c r="F70" s="225">
        <f t="shared" si="2"/>
        <v>6.963120175731909</v>
      </c>
      <c r="G70" s="226"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0" t="s">
        <v>527</v>
      </c>
      <c r="D71" s="228">
        <f>VLOOKUP($D$7,VLOOKUP!$A$113:$S$141,18)*30</f>
        <v>21.219512195121951</v>
      </c>
      <c r="E71" s="229">
        <f>+'EXHIBIT C'!D22</f>
        <v>53.841169937060343</v>
      </c>
      <c r="F71" s="225">
        <f t="shared" si="2"/>
        <v>1.5373424912867519</v>
      </c>
      <c r="G71" s="226"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0" t="s">
        <v>462</v>
      </c>
      <c r="D72" s="228">
        <f>VLOOKUP($D$7,VLOOKUP!$A$113:$S$141,12)*30</f>
        <v>648.35719668425031</v>
      </c>
      <c r="E72" s="229">
        <f>+'EXHIBIT C'!D23</f>
        <v>775.31892202305266</v>
      </c>
      <c r="F72" s="225">
        <f t="shared" si="2"/>
        <v>0.19582064637840779</v>
      </c>
      <c r="G72" s="226"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3" t="s">
        <v>246</v>
      </c>
      <c r="D73" s="230">
        <f>VLOOKUP($D$7,VLOOKUP!$A$113:$S$141,15)*30</f>
        <v>0</v>
      </c>
      <c r="E73" s="231">
        <f>+'EXHIBIT C'!D24</f>
        <v>0</v>
      </c>
      <c r="F73" s="232" t="str">
        <f t="shared" si="2"/>
        <v>0</v>
      </c>
      <c r="G73" s="233"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8" t="s">
        <v>2</v>
      </c>
      <c r="D74" s="234">
        <f>SUM(D68:D73)</f>
        <v>8049.0853821617347</v>
      </c>
      <c r="E74" s="235">
        <f>SUM(E68:E73)</f>
        <v>14484.198182137643</v>
      </c>
      <c r="F74" s="236">
        <f t="shared" si="2"/>
        <v>0.79948372944798307</v>
      </c>
      <c r="G74" s="237"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8" customHeight="1" thickBot="1">
      <c r="C75" s="1273" t="s">
        <v>591</v>
      </c>
      <c r="D75" s="1274"/>
      <c r="E75" s="1274"/>
      <c r="F75" s="1274"/>
      <c r="G75" s="1275"/>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083" t="s">
        <v>461</v>
      </c>
      <c r="D76" s="1084"/>
      <c r="E76" s="1084"/>
      <c r="F76" s="1084"/>
      <c r="G76" s="1085"/>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5"/>
      <c r="B77" s="175"/>
      <c r="C77" s="1279" t="s">
        <v>787</v>
      </c>
      <c r="D77" s="1280"/>
      <c r="E77" s="1280"/>
      <c r="F77" s="1280"/>
      <c r="G77" s="1281"/>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5"/>
      <c r="B78" s="175"/>
      <c r="C78" s="1097"/>
      <c r="D78" s="1098"/>
      <c r="E78" s="1098"/>
      <c r="F78" s="1098"/>
      <c r="G78" s="1099"/>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5"/>
      <c r="B79" s="175"/>
      <c r="C79" s="1097"/>
      <c r="D79" s="1098"/>
      <c r="E79" s="1098"/>
      <c r="F79" s="1098"/>
      <c r="G79" s="1099"/>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5"/>
      <c r="B80" s="175"/>
      <c r="C80" s="1097"/>
      <c r="D80" s="1098"/>
      <c r="E80" s="1098"/>
      <c r="F80" s="1098"/>
      <c r="G80" s="1099"/>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5"/>
      <c r="B81" s="175"/>
      <c r="C81" s="1097"/>
      <c r="D81" s="1098"/>
      <c r="E81" s="1098"/>
      <c r="F81" s="1098"/>
      <c r="G81" s="1099"/>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5"/>
      <c r="B82" s="175"/>
      <c r="C82" s="1097"/>
      <c r="D82" s="1098"/>
      <c r="E82" s="1098"/>
      <c r="F82" s="1098"/>
      <c r="G82" s="1099"/>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5"/>
      <c r="B83" s="175"/>
      <c r="C83" s="1097"/>
      <c r="D83" s="1098"/>
      <c r="E83" s="1098"/>
      <c r="F83" s="1098"/>
      <c r="G83" s="1099"/>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5"/>
      <c r="B84" s="175"/>
      <c r="C84" s="1097"/>
      <c r="D84" s="1098"/>
      <c r="E84" s="1098"/>
      <c r="F84" s="1098"/>
      <c r="G84" s="1099"/>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5"/>
      <c r="B85" s="175"/>
      <c r="C85" s="1097"/>
      <c r="D85" s="1098"/>
      <c r="E85" s="1098"/>
      <c r="F85" s="1098"/>
      <c r="G85" s="1099"/>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5"/>
      <c r="B86" s="175"/>
      <c r="C86" s="1100"/>
      <c r="D86" s="1101"/>
      <c r="E86" s="1101"/>
      <c r="F86" s="1101"/>
      <c r="G86" s="1102"/>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t="s">
        <v>213</v>
      </c>
      <c r="B89" s="174"/>
      <c r="C89" s="238"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5"/>
      <c r="B90" s="175"/>
      <c r="C90" s="169"/>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5"/>
      <c r="B91" s="175"/>
      <c r="C91" s="239"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5"/>
      <c r="B92" s="175"/>
      <c r="C92" s="240"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5"/>
      <c r="B93" s="175"/>
      <c r="C93" s="241"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5"/>
      <c r="B94" s="175"/>
      <c r="C94" s="242"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0"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5"/>
      <c r="B96" s="175"/>
      <c r="C96" s="241"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43"/>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4"/>
      <c r="B98" s="174"/>
      <c r="C98" s="243"/>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282" t="s">
        <v>621</v>
      </c>
      <c r="D99" s="1282"/>
      <c r="E99" s="1282"/>
      <c r="F99" s="1282"/>
      <c r="G99" s="1282"/>
      <c r="H99" s="1078"/>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5"/>
      <c r="B100" s="175"/>
      <c r="C100" s="160"/>
      <c r="D100" s="160"/>
      <c r="E100" s="245"/>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5"/>
      <c r="B101" s="175"/>
      <c r="C101" s="246" t="s">
        <v>558</v>
      </c>
      <c r="D101" s="247" t="s">
        <v>544</v>
      </c>
      <c r="E101" s="246" t="s">
        <v>9</v>
      </c>
      <c r="F101" s="246"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5"/>
      <c r="B102" s="175"/>
      <c r="C102" s="248" t="s">
        <v>599</v>
      </c>
      <c r="D102" s="249">
        <f>VLOOKUP($D$7,VLOOKUP!$A$7:$E$35,2)</f>
        <v>22840457</v>
      </c>
      <c r="E102" s="250">
        <f>+'EXHIBIT D'!G75</f>
        <v>22840457</v>
      </c>
      <c r="F102" s="250">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5"/>
      <c r="B103" s="175"/>
      <c r="C103" s="251" t="s">
        <v>620</v>
      </c>
      <c r="D103" s="249">
        <f>E103</f>
        <v>779798</v>
      </c>
      <c r="E103" s="250">
        <f>'EXHIBIT D'!G77</f>
        <v>779798</v>
      </c>
      <c r="F103" s="250">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5"/>
      <c r="B104" s="175"/>
      <c r="C104" s="251" t="s">
        <v>600</v>
      </c>
      <c r="D104" s="249">
        <f>VLOOKUP($D$7,VLOOKUP!$A$7:$E$35,3)</f>
        <v>7501101</v>
      </c>
      <c r="E104" s="250">
        <f>'EXHIBIT D'!G81</f>
        <v>7501101</v>
      </c>
      <c r="F104" s="250">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4"/>
      <c r="B105" s="174"/>
      <c r="C105" s="252"/>
      <c r="D105" s="253"/>
      <c r="E105" s="254"/>
      <c r="F105" s="255"/>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4"/>
      <c r="B106" s="174"/>
      <c r="C106" s="256" t="s">
        <v>10</v>
      </c>
      <c r="D106" s="257">
        <f>SUM(D102:D104)</f>
        <v>31121356</v>
      </c>
      <c r="E106" s="257">
        <f t="shared" ref="E106:F106" si="4">SUM(E102:E104)</f>
        <v>31121356</v>
      </c>
      <c r="F106" s="257">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C108" s="258"/>
      <c r="D108" s="258"/>
      <c r="E108" s="258"/>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t="s">
        <v>390</v>
      </c>
      <c r="B109" s="174"/>
      <c r="C109" s="174"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5"/>
      <c r="B110" s="175"/>
      <c r="C110" s="174"/>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5"/>
      <c r="B111" s="175"/>
      <c r="C111" s="259" t="str">
        <f>IF(+'EXHIBIT E'!B21=+'EXHIBIT D'!G193,"Equal","Not Equal")</f>
        <v>Equal</v>
      </c>
      <c r="D111" s="160" t="s">
        <v>11</v>
      </c>
      <c r="E111" s="160"/>
      <c r="F111" s="160"/>
      <c r="G111" s="164"/>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5"/>
      <c r="B112" s="175"/>
      <c r="C112" s="260" t="str">
        <f>IF(+'EXHIBIT E'!C21=+'EXHIBIT D'!G236,"Equal","Not Equal")</f>
        <v>Equal</v>
      </c>
      <c r="D112" s="160" t="s">
        <v>12</v>
      </c>
      <c r="E112" s="261"/>
      <c r="F112" s="160"/>
      <c r="G112" s="164"/>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0" t="str">
        <f>IF(+'EXHIBIT E'!D21=+'EXHIBIT D'!G251,"Equal","Not Equal")</f>
        <v>Equal</v>
      </c>
      <c r="D113" s="160" t="s">
        <v>13</v>
      </c>
      <c r="E113" s="261"/>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4"/>
      <c r="B114" s="174"/>
      <c r="C114" s="262" t="str">
        <f>IF(+'EXHIBIT E'!E21=+'EXHIBIT D'!G253,"Equal","Not Equal")</f>
        <v>Equal</v>
      </c>
      <c r="D114" s="263" t="s">
        <v>2</v>
      </c>
      <c r="E114" s="261"/>
      <c r="F114" s="160"/>
      <c r="G114" s="164"/>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5"/>
      <c r="B115" s="175"/>
      <c r="E115" s="160"/>
      <c r="F115" s="160"/>
      <c r="G115" s="213"/>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5"/>
      <c r="B116" s="175"/>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090" t="s">
        <v>732</v>
      </c>
      <c r="D117" s="1090"/>
      <c r="E117" s="1090"/>
      <c r="F117" s="1090"/>
      <c r="G117" s="1090"/>
      <c r="H117" s="1090"/>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4"/>
      <c r="B118" s="265"/>
      <c r="C118" s="1090"/>
      <c r="D118" s="1090"/>
      <c r="E118" s="1090"/>
      <c r="F118" s="1090"/>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6">
        <f>+'EXHIBIT A'!E40</f>
        <v>6107536</v>
      </c>
      <c r="D119" s="1070" t="s">
        <v>716</v>
      </c>
      <c r="E119" s="1070"/>
      <c r="F119" s="1070"/>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7"/>
      <c r="B120" s="267"/>
      <c r="C120" s="266">
        <f>'EXHIBIT D'!G271-'EXHIBIT D'!G257-'EXHIBIT D'!G269</f>
        <v>6107536</v>
      </c>
      <c r="D120" s="1074" t="s">
        <v>717</v>
      </c>
      <c r="E120" s="1074"/>
      <c r="F120" s="1074"/>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8"/>
      <c r="B121" s="268"/>
      <c r="C121" s="269">
        <f>C119-C120</f>
        <v>0</v>
      </c>
      <c r="D121" s="1283" t="s">
        <v>646</v>
      </c>
      <c r="E121" s="1283"/>
      <c r="F121" s="1283"/>
      <c r="G121" s="1283"/>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0"/>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0"/>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1" t="s">
        <v>14</v>
      </c>
      <c r="B124" s="170"/>
      <c r="C124" s="1270" t="s">
        <v>776</v>
      </c>
      <c r="D124" s="1270"/>
      <c r="E124" s="1270"/>
      <c r="F124" s="1270"/>
      <c r="G124" s="1270"/>
      <c r="H124" s="1072"/>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8"/>
      <c r="B125" s="268"/>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8"/>
      <c r="B126" s="268"/>
      <c r="C126" s="272">
        <f>'EXHIBIT A'!E14</f>
        <v>22905955</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8"/>
      <c r="B127" s="268"/>
      <c r="C127" s="273">
        <f>'EXHIBIT A'!E36</f>
        <v>22905955</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8"/>
      <c r="B128" s="268"/>
      <c r="C128" s="274">
        <f>C126-C127</f>
        <v>0</v>
      </c>
      <c r="D128" s="1075" t="s">
        <v>606</v>
      </c>
      <c r="E128" s="1075"/>
      <c r="F128" s="1075"/>
      <c r="G128" s="1075"/>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8"/>
      <c r="B129" s="268"/>
      <c r="C129" s="272"/>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8"/>
      <c r="B130" s="268"/>
      <c r="C130" s="275">
        <f>'EXHIBIT D'!G185</f>
        <v>0</v>
      </c>
      <c r="D130" s="263" t="s">
        <v>543</v>
      </c>
      <c r="E130" s="163"/>
      <c r="F130" s="163"/>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6">
        <f>C128+C130</f>
        <v>0</v>
      </c>
      <c r="D132" s="1284" t="s">
        <v>775</v>
      </c>
      <c r="E132" s="1284"/>
      <c r="F132" s="1284"/>
      <c r="G132" s="1284"/>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7"/>
      <c r="D133" s="278"/>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5"/>
      <c r="V134" s="165"/>
      <c r="W134" s="165"/>
      <c r="X134" s="165"/>
      <c r="Y134" s="165"/>
      <c r="Z134" s="165"/>
      <c r="AA134" s="165"/>
      <c r="AB134" s="165"/>
      <c r="AC134" s="165"/>
      <c r="AD134" s="165"/>
      <c r="AE134" s="165"/>
      <c r="AF134" s="165"/>
      <c r="AG134" s="165"/>
    </row>
    <row r="135" spans="1:53" ht="39" customHeight="1">
      <c r="A135" s="279" t="s">
        <v>500</v>
      </c>
      <c r="B135" s="1076"/>
      <c r="C135" s="1285" t="s">
        <v>593</v>
      </c>
      <c r="D135" s="1285"/>
      <c r="E135" s="1285"/>
      <c r="F135" s="1285"/>
      <c r="G135" s="1285"/>
      <c r="H135" s="1082"/>
      <c r="U135" s="165"/>
      <c r="V135" s="165"/>
      <c r="W135" s="165"/>
      <c r="X135" s="165"/>
      <c r="Y135" s="165"/>
      <c r="Z135" s="165"/>
      <c r="AA135" s="165"/>
      <c r="AB135" s="165"/>
      <c r="AC135" s="165"/>
      <c r="AD135" s="165"/>
      <c r="AE135" s="165"/>
      <c r="AF135" s="165"/>
      <c r="AG135" s="165"/>
    </row>
    <row r="136" spans="1:53" ht="19.899999999999999" customHeight="1">
      <c r="A136" s="29"/>
      <c r="B136" s="29"/>
      <c r="C136" s="29"/>
      <c r="D136" s="29"/>
      <c r="U136" s="165"/>
      <c r="V136" s="165"/>
      <c r="W136" s="165"/>
      <c r="X136" s="165"/>
      <c r="Y136" s="165"/>
      <c r="Z136" s="165"/>
      <c r="AA136" s="165"/>
      <c r="AB136" s="165"/>
      <c r="AC136" s="165"/>
      <c r="AD136" s="165"/>
      <c r="AE136" s="165"/>
      <c r="AF136" s="165"/>
      <c r="AG136" s="165"/>
    </row>
    <row r="137" spans="1:53" ht="19.899999999999999" customHeight="1">
      <c r="A137" s="29"/>
      <c r="C137" s="280">
        <f>IF('EXHIBIT G'!D124=0,"No Credit Hours or Not Applicable",('EXHIBIT G'!D124/'EXHIBIT C'!F10))</f>
        <v>91.79</v>
      </c>
      <c r="D137" s="29" t="s">
        <v>252</v>
      </c>
      <c r="U137" s="165"/>
      <c r="V137" s="165"/>
      <c r="W137" s="165"/>
      <c r="X137" s="165"/>
      <c r="Y137" s="165"/>
      <c r="Z137" s="165"/>
      <c r="AA137" s="165"/>
      <c r="AB137" s="165"/>
      <c r="AC137" s="165"/>
      <c r="AD137" s="165"/>
      <c r="AE137" s="165"/>
      <c r="AF137" s="165"/>
      <c r="AG137" s="165"/>
    </row>
    <row r="138" spans="1:53" ht="19.899999999999999" customHeight="1">
      <c r="A138" s="29"/>
      <c r="C138" s="281"/>
      <c r="D138" s="29"/>
      <c r="F138" s="33"/>
      <c r="G138" s="33"/>
      <c r="H138" s="33"/>
      <c r="U138" s="165"/>
      <c r="V138" s="165"/>
      <c r="W138" s="165"/>
      <c r="X138" s="165"/>
      <c r="Y138" s="165"/>
      <c r="Z138" s="165"/>
      <c r="AA138" s="165"/>
      <c r="AB138" s="165"/>
      <c r="AC138" s="165"/>
      <c r="AD138" s="165"/>
      <c r="AE138" s="165"/>
      <c r="AF138" s="165"/>
      <c r="AG138" s="165"/>
    </row>
    <row r="139" spans="1:53" ht="19.899999999999999" customHeight="1">
      <c r="A139" s="29"/>
      <c r="C139" s="282">
        <f>IF('EXHIBIT G'!D125=0,"No Credit Hours or Not Applicable",('EXHIBIT G'!D125/'EXHIBIT C'!D19))</f>
        <v>511.41</v>
      </c>
      <c r="D139" s="29" t="s">
        <v>404</v>
      </c>
      <c r="F139" s="48"/>
      <c r="G139" s="48"/>
      <c r="H139" s="48"/>
      <c r="U139" s="165"/>
      <c r="V139" s="165"/>
      <c r="W139" s="165"/>
      <c r="X139" s="165"/>
      <c r="Y139" s="165"/>
      <c r="Z139" s="165"/>
      <c r="AA139" s="165"/>
      <c r="AB139" s="165"/>
      <c r="AC139" s="165"/>
      <c r="AD139" s="165"/>
      <c r="AE139" s="165"/>
      <c r="AF139" s="165"/>
      <c r="AG139" s="165"/>
    </row>
    <row r="140" spans="1:53" ht="19.899999999999999" customHeight="1">
      <c r="A140" s="29"/>
      <c r="C140" s="283"/>
      <c r="D140" s="29"/>
      <c r="F140" s="48"/>
      <c r="G140" s="48"/>
      <c r="H140" s="48"/>
      <c r="U140" s="165"/>
      <c r="V140" s="165"/>
      <c r="W140" s="165"/>
      <c r="X140" s="165"/>
      <c r="Y140" s="165"/>
      <c r="Z140" s="165"/>
      <c r="AA140" s="165"/>
      <c r="AB140" s="165"/>
      <c r="AC140" s="165"/>
      <c r="AD140" s="165"/>
      <c r="AE140" s="165"/>
      <c r="AF140" s="165"/>
      <c r="AG140" s="165"/>
    </row>
    <row r="141" spans="1:53" s="29" customFormat="1" ht="19.899999999999999" customHeight="1">
      <c r="C141" s="1113"/>
      <c r="D141" s="1114"/>
      <c r="E141" s="1114"/>
    </row>
    <row r="142" spans="1:53" s="29" customFormat="1" ht="19.899999999999999" customHeight="1">
      <c r="A142" s="1076" t="s">
        <v>501</v>
      </c>
      <c r="B142" s="1076"/>
      <c r="C142" s="1076" t="s">
        <v>594</v>
      </c>
    </row>
    <row r="143" spans="1:53" ht="19.899999999999999" customHeight="1">
      <c r="A143" s="29"/>
      <c r="C143" s="29"/>
      <c r="D143" s="29"/>
      <c r="U143" s="165"/>
      <c r="V143" s="165"/>
      <c r="W143" s="165"/>
      <c r="X143" s="165"/>
      <c r="Y143" s="165"/>
      <c r="Z143" s="165"/>
      <c r="AA143" s="165"/>
      <c r="AB143" s="165"/>
      <c r="AC143" s="165"/>
      <c r="AD143" s="165"/>
      <c r="AE143" s="165"/>
      <c r="AF143" s="165"/>
      <c r="AG143" s="165"/>
    </row>
    <row r="144" spans="1:53" ht="42.6" customHeight="1">
      <c r="A144" s="29"/>
      <c r="C144" s="284" t="str">
        <f>IF(+'EXHIBIT G'!D124='EXHIBIT C'!H10,"Equal","Not Equal")</f>
        <v>Equal</v>
      </c>
      <c r="D144" s="1112" t="s">
        <v>739</v>
      </c>
      <c r="E144" s="1112"/>
      <c r="F144" s="1112"/>
      <c r="G144" s="285"/>
      <c r="U144" s="165"/>
      <c r="V144" s="165"/>
      <c r="W144" s="165"/>
      <c r="X144" s="165"/>
      <c r="Y144" s="165"/>
      <c r="Z144" s="165"/>
      <c r="AA144" s="165"/>
      <c r="AB144" s="165"/>
      <c r="AC144" s="165"/>
      <c r="AD144" s="165"/>
      <c r="AE144" s="165"/>
      <c r="AF144" s="165"/>
      <c r="AG144" s="165"/>
    </row>
    <row r="145" spans="1:33" ht="19.899999999999999" customHeight="1">
      <c r="A145" s="29"/>
      <c r="C145" s="281"/>
      <c r="D145" s="285"/>
      <c r="E145" s="285"/>
      <c r="F145" s="285"/>
      <c r="G145" s="285"/>
      <c r="U145" s="165"/>
      <c r="V145" s="165"/>
      <c r="W145" s="165"/>
      <c r="X145" s="165"/>
      <c r="Y145" s="165"/>
      <c r="Z145" s="165"/>
      <c r="AA145" s="165"/>
      <c r="AB145" s="165"/>
      <c r="AC145" s="165"/>
      <c r="AD145" s="165"/>
      <c r="AE145" s="165"/>
      <c r="AF145" s="165"/>
      <c r="AG145" s="165"/>
    </row>
    <row r="146" spans="1:33" ht="19.899999999999999" customHeight="1">
      <c r="A146" s="29"/>
      <c r="C146" s="29"/>
      <c r="D146" s="29"/>
      <c r="U146" s="165"/>
      <c r="V146" s="165"/>
      <c r="W146" s="165"/>
      <c r="X146" s="165"/>
      <c r="Y146" s="165"/>
      <c r="Z146" s="165"/>
      <c r="AA146" s="165"/>
      <c r="AB146" s="165"/>
      <c r="AC146" s="165"/>
      <c r="AD146" s="165"/>
      <c r="AE146" s="165"/>
      <c r="AF146" s="165"/>
      <c r="AG146" s="165"/>
    </row>
    <row r="147" spans="1:33" ht="58.15" customHeight="1">
      <c r="A147" s="29"/>
      <c r="C147" s="284" t="str">
        <f>IF(+'EXHIBIT G'!D125='EXHIBIT C'!F19,"Equal","Not Equal")</f>
        <v>Equal</v>
      </c>
      <c r="D147" s="1286" t="s">
        <v>740</v>
      </c>
      <c r="E147" s="1286"/>
      <c r="F147" s="1286"/>
      <c r="G147" s="1286"/>
      <c r="U147" s="165"/>
      <c r="V147" s="165"/>
      <c r="W147" s="165"/>
      <c r="X147" s="165"/>
      <c r="Y147" s="165"/>
      <c r="Z147" s="165"/>
      <c r="AA147" s="165"/>
      <c r="AB147" s="165"/>
      <c r="AC147" s="165"/>
      <c r="AD147" s="165"/>
      <c r="AE147" s="165"/>
      <c r="AF147" s="165"/>
      <c r="AG147" s="165"/>
    </row>
    <row r="148" spans="1:33" ht="19.899999999999999" customHeight="1">
      <c r="A148" s="29"/>
      <c r="C148" s="281"/>
      <c r="D148" s="285"/>
      <c r="E148" s="285"/>
      <c r="F148" s="285"/>
      <c r="G148" s="285"/>
      <c r="U148" s="165"/>
      <c r="V148" s="165"/>
      <c r="W148" s="165"/>
      <c r="X148" s="165"/>
      <c r="Y148" s="165"/>
      <c r="Z148" s="165"/>
      <c r="AA148" s="165"/>
      <c r="AB148" s="165"/>
      <c r="AC148" s="165"/>
      <c r="AD148" s="165"/>
      <c r="AE148" s="165"/>
      <c r="AF148" s="165"/>
      <c r="AG148" s="165"/>
    </row>
    <row r="149" spans="1:33" ht="19.899999999999999" customHeight="1">
      <c r="A149" s="29"/>
      <c r="C149" s="281"/>
      <c r="D149" s="1112"/>
      <c r="E149" s="1112"/>
      <c r="F149" s="1112"/>
      <c r="G149" s="1112"/>
      <c r="U149" s="165"/>
      <c r="V149" s="165"/>
      <c r="W149" s="165"/>
      <c r="X149" s="165"/>
      <c r="Y149" s="165"/>
      <c r="Z149" s="165"/>
      <c r="AA149" s="165"/>
      <c r="AB149" s="165"/>
      <c r="AC149" s="165"/>
      <c r="AD149" s="165"/>
      <c r="AE149" s="165"/>
      <c r="AF149" s="165"/>
      <c r="AG149" s="165"/>
    </row>
    <row r="150" spans="1:33" ht="19.899999999999999" customHeight="1">
      <c r="A150" s="29"/>
      <c r="C150" s="286"/>
      <c r="D150" s="1112"/>
      <c r="E150" s="1112"/>
      <c r="F150" s="1112"/>
      <c r="G150" s="1112"/>
      <c r="U150" s="165"/>
      <c r="V150" s="165"/>
      <c r="W150" s="165"/>
      <c r="X150" s="165"/>
      <c r="Y150" s="165"/>
      <c r="Z150" s="165"/>
      <c r="AA150" s="165"/>
      <c r="AB150" s="165"/>
      <c r="AC150" s="165"/>
      <c r="AD150" s="165"/>
      <c r="AE150" s="165"/>
      <c r="AF150" s="165"/>
      <c r="AG150" s="165"/>
    </row>
    <row r="151" spans="1:33" ht="78" customHeight="1">
      <c r="A151" s="279" t="s">
        <v>502</v>
      </c>
      <c r="B151" s="1076"/>
      <c r="C151" s="1285" t="s">
        <v>650</v>
      </c>
      <c r="D151" s="1285"/>
      <c r="E151" s="1285"/>
      <c r="F151" s="1285"/>
      <c r="G151" s="1285"/>
      <c r="H151" s="1082"/>
      <c r="U151" s="165"/>
      <c r="V151" s="165"/>
      <c r="W151" s="165"/>
      <c r="X151" s="165"/>
      <c r="Y151" s="165"/>
      <c r="Z151" s="165"/>
      <c r="AA151" s="165"/>
      <c r="AB151" s="165"/>
      <c r="AC151" s="165"/>
      <c r="AD151" s="165"/>
      <c r="AE151" s="165"/>
      <c r="AF151" s="165"/>
      <c r="AG151" s="165"/>
    </row>
    <row r="152" spans="1:33" ht="19.899999999999999" customHeight="1">
      <c r="A152" s="29"/>
      <c r="C152" s="29"/>
      <c r="D152" s="29"/>
      <c r="U152" s="165"/>
      <c r="V152" s="165"/>
      <c r="W152" s="165"/>
      <c r="X152" s="165"/>
      <c r="Y152" s="165"/>
      <c r="Z152" s="165"/>
      <c r="AA152" s="165"/>
      <c r="AB152" s="165"/>
      <c r="AC152" s="165"/>
      <c r="AD152" s="165"/>
      <c r="AE152" s="165"/>
      <c r="AF152" s="165"/>
      <c r="AG152" s="165"/>
    </row>
    <row r="153" spans="1:33" ht="19.899999999999999" customHeight="1">
      <c r="A153" s="29"/>
      <c r="C153" s="284" t="str">
        <f>IF(+'EXHIBIT G'!F119='EXHIBIT G'!F135,"Equal","Not Equal")</f>
        <v>Equal</v>
      </c>
      <c r="D153" s="1071" t="s">
        <v>607</v>
      </c>
      <c r="E153" s="1071"/>
      <c r="F153" s="1071"/>
      <c r="U153" s="165"/>
      <c r="V153" s="165"/>
      <c r="W153" s="165"/>
      <c r="X153" s="165"/>
      <c r="Y153" s="165"/>
      <c r="Z153" s="165"/>
      <c r="AA153" s="165"/>
      <c r="AB153" s="165"/>
      <c r="AC153" s="165"/>
      <c r="AD153" s="165"/>
      <c r="AE153" s="165"/>
      <c r="AF153" s="165"/>
      <c r="AG153" s="165"/>
    </row>
    <row r="154" spans="1:33" ht="19.899999999999999" customHeight="1" thickBot="1">
      <c r="A154" s="29"/>
      <c r="C154" s="286"/>
      <c r="D154" s="29"/>
      <c r="H154" s="214"/>
      <c r="U154" s="165"/>
      <c r="V154" s="165"/>
      <c r="W154" s="165"/>
      <c r="X154" s="165"/>
      <c r="Y154" s="165"/>
      <c r="Z154" s="165"/>
      <c r="AA154" s="165"/>
      <c r="AB154" s="165"/>
      <c r="AC154" s="165"/>
      <c r="AD154" s="165"/>
      <c r="AE154" s="165"/>
      <c r="AF154" s="165"/>
      <c r="AG154" s="165"/>
    </row>
    <row r="155" spans="1:33" ht="24.6" customHeight="1" thickBot="1">
      <c r="A155" s="29"/>
      <c r="C155" s="1086" t="s">
        <v>706</v>
      </c>
      <c r="D155" s="1087"/>
      <c r="E155" s="1087"/>
      <c r="F155" s="1087"/>
      <c r="G155" s="1088"/>
      <c r="H155" s="52"/>
      <c r="U155" s="165"/>
      <c r="V155" s="165"/>
      <c r="W155" s="165"/>
      <c r="X155" s="165"/>
      <c r="Y155" s="165"/>
      <c r="Z155" s="165"/>
      <c r="AA155" s="165"/>
      <c r="AB155" s="165"/>
      <c r="AC155" s="165"/>
      <c r="AD155" s="165"/>
      <c r="AE155" s="165"/>
      <c r="AF155" s="165"/>
      <c r="AG155" s="165"/>
    </row>
    <row r="156" spans="1:33" ht="19.899999999999999" customHeight="1">
      <c r="A156" s="29"/>
      <c r="C156" s="1103"/>
      <c r="D156" s="1104"/>
      <c r="E156" s="1104"/>
      <c r="F156" s="1104"/>
      <c r="G156" s="1105"/>
      <c r="H156" s="287"/>
      <c r="U156" s="165"/>
      <c r="V156" s="165"/>
      <c r="W156" s="165"/>
      <c r="X156" s="165"/>
      <c r="Y156" s="165"/>
      <c r="Z156" s="165"/>
      <c r="AA156" s="165"/>
      <c r="AB156" s="165"/>
      <c r="AC156" s="165"/>
      <c r="AD156" s="165"/>
      <c r="AE156" s="165"/>
      <c r="AF156" s="165"/>
      <c r="AG156" s="165"/>
    </row>
    <row r="157" spans="1:33" ht="19.899999999999999" customHeight="1">
      <c r="A157" s="29"/>
      <c r="C157" s="1106"/>
      <c r="D157" s="1107"/>
      <c r="E157" s="1107"/>
      <c r="F157" s="1107"/>
      <c r="G157" s="1108"/>
      <c r="H157" s="287"/>
      <c r="U157" s="165"/>
      <c r="V157" s="165"/>
      <c r="W157" s="165"/>
      <c r="X157" s="165"/>
      <c r="Y157" s="165"/>
      <c r="Z157" s="165"/>
      <c r="AA157" s="165"/>
      <c r="AB157" s="165"/>
      <c r="AC157" s="165"/>
      <c r="AD157" s="165"/>
      <c r="AE157" s="165"/>
      <c r="AF157" s="165"/>
      <c r="AG157" s="165"/>
    </row>
    <row r="158" spans="1:33" ht="19.899999999999999" customHeight="1">
      <c r="A158" s="29"/>
      <c r="C158" s="1106"/>
      <c r="D158" s="1107"/>
      <c r="E158" s="1107"/>
      <c r="F158" s="1107"/>
      <c r="G158" s="1108"/>
      <c r="H158" s="287"/>
      <c r="U158" s="165"/>
      <c r="V158" s="165"/>
      <c r="W158" s="165"/>
      <c r="X158" s="165"/>
      <c r="Y158" s="165"/>
      <c r="Z158" s="165"/>
      <c r="AA158" s="165"/>
      <c r="AB158" s="165"/>
      <c r="AC158" s="165"/>
      <c r="AD158" s="165"/>
      <c r="AE158" s="165"/>
      <c r="AF158" s="165"/>
      <c r="AG158" s="165"/>
    </row>
    <row r="159" spans="1:33" ht="19.899999999999999" customHeight="1">
      <c r="A159" s="29"/>
      <c r="C159" s="1106"/>
      <c r="D159" s="1107"/>
      <c r="E159" s="1107"/>
      <c r="F159" s="1107"/>
      <c r="G159" s="1108"/>
      <c r="H159" s="287"/>
      <c r="U159" s="165"/>
      <c r="V159" s="165"/>
      <c r="W159" s="165"/>
      <c r="X159" s="165"/>
      <c r="Y159" s="165"/>
      <c r="Z159" s="165"/>
      <c r="AA159" s="165"/>
      <c r="AB159" s="165"/>
      <c r="AC159" s="165"/>
      <c r="AD159" s="165"/>
      <c r="AE159" s="165"/>
      <c r="AF159" s="165"/>
      <c r="AG159" s="165"/>
    </row>
    <row r="160" spans="1:33" ht="19.899999999999999" customHeight="1">
      <c r="A160" s="29"/>
      <c r="C160" s="1106"/>
      <c r="D160" s="1107"/>
      <c r="E160" s="1107"/>
      <c r="F160" s="1107"/>
      <c r="G160" s="1108"/>
      <c r="H160" s="287"/>
      <c r="U160" s="165"/>
      <c r="V160" s="165"/>
      <c r="W160" s="165"/>
      <c r="X160" s="165"/>
      <c r="Y160" s="165"/>
      <c r="Z160" s="165"/>
      <c r="AA160" s="165"/>
      <c r="AB160" s="165"/>
      <c r="AC160" s="165"/>
      <c r="AD160" s="165"/>
      <c r="AE160" s="165"/>
      <c r="AF160" s="165"/>
      <c r="AG160" s="165"/>
    </row>
    <row r="161" spans="1:33" ht="19.899999999999999" customHeight="1">
      <c r="A161" s="29"/>
      <c r="C161" s="1106"/>
      <c r="D161" s="1107"/>
      <c r="E161" s="1107"/>
      <c r="F161" s="1107"/>
      <c r="G161" s="1108"/>
      <c r="H161" s="287"/>
      <c r="U161" s="165"/>
      <c r="V161" s="165"/>
      <c r="W161" s="165"/>
      <c r="X161" s="165"/>
      <c r="Y161" s="165"/>
      <c r="Z161" s="165"/>
      <c r="AA161" s="165"/>
      <c r="AB161" s="165"/>
      <c r="AC161" s="165"/>
      <c r="AD161" s="165"/>
      <c r="AE161" s="165"/>
      <c r="AF161" s="165"/>
      <c r="AG161" s="165"/>
    </row>
    <row r="162" spans="1:33" ht="19.899999999999999" customHeight="1">
      <c r="A162" s="29"/>
      <c r="C162" s="1106"/>
      <c r="D162" s="1107"/>
      <c r="E162" s="1107"/>
      <c r="F162" s="1107"/>
      <c r="G162" s="1108"/>
      <c r="H162" s="287"/>
      <c r="U162" s="165"/>
      <c r="V162" s="165"/>
      <c r="W162" s="165"/>
      <c r="X162" s="165"/>
      <c r="Y162" s="165"/>
      <c r="Z162" s="165"/>
      <c r="AA162" s="165"/>
      <c r="AB162" s="165"/>
      <c r="AC162" s="165"/>
      <c r="AD162" s="165"/>
      <c r="AE162" s="165"/>
      <c r="AF162" s="165"/>
      <c r="AG162" s="165"/>
    </row>
    <row r="163" spans="1:33" ht="19.899999999999999" customHeight="1">
      <c r="A163" s="29"/>
      <c r="C163" s="1106"/>
      <c r="D163" s="1107"/>
      <c r="E163" s="1107"/>
      <c r="F163" s="1107"/>
      <c r="G163" s="1108"/>
      <c r="H163" s="287"/>
      <c r="U163" s="165"/>
      <c r="V163" s="165"/>
      <c r="W163" s="165"/>
      <c r="X163" s="165"/>
      <c r="Y163" s="165"/>
      <c r="Z163" s="165"/>
      <c r="AA163" s="165"/>
      <c r="AB163" s="165"/>
      <c r="AC163" s="165"/>
      <c r="AD163" s="165"/>
      <c r="AE163" s="165"/>
      <c r="AF163" s="165"/>
      <c r="AG163" s="165"/>
    </row>
    <row r="164" spans="1:33" ht="19.899999999999999" customHeight="1">
      <c r="A164" s="29"/>
      <c r="C164" s="1106"/>
      <c r="D164" s="1107"/>
      <c r="E164" s="1107"/>
      <c r="F164" s="1107"/>
      <c r="G164" s="1108"/>
      <c r="H164" s="287"/>
      <c r="U164" s="165"/>
      <c r="V164" s="165"/>
      <c r="W164" s="165"/>
      <c r="X164" s="165"/>
      <c r="Y164" s="165"/>
      <c r="Z164" s="165"/>
      <c r="AA164" s="165"/>
      <c r="AB164" s="165"/>
      <c r="AC164" s="165"/>
      <c r="AD164" s="165"/>
      <c r="AE164" s="165"/>
      <c r="AF164" s="165"/>
      <c r="AG164" s="165"/>
    </row>
    <row r="165" spans="1:33" ht="19.899999999999999" customHeight="1" thickBot="1">
      <c r="A165" s="29"/>
      <c r="C165" s="1109"/>
      <c r="D165" s="1110"/>
      <c r="E165" s="1110"/>
      <c r="F165" s="1110"/>
      <c r="G165" s="1111"/>
      <c r="H165" s="287"/>
      <c r="U165" s="165"/>
      <c r="V165" s="165"/>
      <c r="W165" s="165"/>
      <c r="X165" s="165"/>
      <c r="Y165" s="165"/>
      <c r="Z165" s="165"/>
      <c r="AA165" s="165"/>
      <c r="AB165" s="165"/>
      <c r="AC165" s="165"/>
      <c r="AD165" s="165"/>
      <c r="AE165" s="165"/>
      <c r="AF165" s="165"/>
      <c r="AG165" s="165"/>
    </row>
    <row r="166" spans="1:33" ht="19.899999999999999" customHeight="1">
      <c r="H166" s="214"/>
      <c r="U166" s="165"/>
      <c r="V166" s="165"/>
      <c r="W166" s="165"/>
      <c r="X166" s="165"/>
      <c r="Y166" s="165"/>
      <c r="Z166" s="165"/>
      <c r="AA166" s="165"/>
      <c r="AB166" s="165"/>
      <c r="AC166" s="165"/>
      <c r="AD166" s="165"/>
      <c r="AE166" s="165"/>
      <c r="AF166" s="165"/>
      <c r="AG166" s="165"/>
    </row>
    <row r="167" spans="1:33" ht="19.899999999999999" customHeight="1">
      <c r="H167" s="214"/>
      <c r="U167" s="165"/>
      <c r="V167" s="165"/>
      <c r="W167" s="165"/>
      <c r="X167" s="165"/>
      <c r="Y167" s="165"/>
      <c r="Z167" s="165"/>
      <c r="AA167" s="165"/>
      <c r="AB167" s="165"/>
      <c r="AC167" s="165"/>
      <c r="AD167" s="165"/>
      <c r="AE167" s="165"/>
      <c r="AF167" s="165"/>
      <c r="AG167" s="165"/>
    </row>
    <row r="168" spans="1:33" ht="19.899999999999999" customHeight="1">
      <c r="U168" s="165"/>
      <c r="V168" s="165"/>
      <c r="W168" s="165"/>
      <c r="X168" s="165"/>
      <c r="Y168" s="165"/>
      <c r="Z168" s="165"/>
      <c r="AA168" s="165"/>
      <c r="AB168" s="165"/>
      <c r="AC168" s="165"/>
      <c r="AD168" s="165"/>
      <c r="AE168" s="165"/>
      <c r="AF168" s="165"/>
      <c r="AG168" s="165"/>
    </row>
    <row r="169" spans="1:33" ht="19.899999999999999" customHeight="1">
      <c r="U169" s="165"/>
      <c r="V169" s="165"/>
      <c r="W169" s="165"/>
      <c r="X169" s="165"/>
      <c r="Y169" s="165"/>
      <c r="Z169" s="165"/>
      <c r="AA169" s="165"/>
      <c r="AB169" s="165"/>
      <c r="AC169" s="165"/>
      <c r="AD169" s="165"/>
      <c r="AE169" s="165"/>
      <c r="AF169" s="165"/>
      <c r="AG169" s="165"/>
    </row>
    <row r="170" spans="1:33" ht="19.899999999999999" customHeight="1">
      <c r="U170" s="165"/>
      <c r="V170" s="165"/>
      <c r="W170" s="165"/>
      <c r="X170" s="165"/>
      <c r="Y170" s="165"/>
      <c r="Z170" s="165"/>
      <c r="AA170" s="165"/>
      <c r="AB170" s="165"/>
      <c r="AC170" s="165"/>
      <c r="AD170" s="165"/>
      <c r="AE170" s="165"/>
      <c r="AF170" s="165"/>
      <c r="AG170" s="165"/>
    </row>
    <row r="171" spans="1:33" ht="19.899999999999999" customHeight="1">
      <c r="U171" s="165"/>
      <c r="V171" s="165"/>
      <c r="W171" s="165"/>
      <c r="X171" s="165"/>
      <c r="Y171" s="165"/>
      <c r="Z171" s="165"/>
      <c r="AA171" s="165"/>
      <c r="AB171" s="165"/>
      <c r="AC171" s="165"/>
      <c r="AD171" s="165"/>
      <c r="AE171" s="165"/>
      <c r="AF171" s="165"/>
      <c r="AG171" s="165"/>
    </row>
    <row r="172" spans="1:33" ht="19.899999999999999" customHeight="1">
      <c r="U172" s="165"/>
      <c r="V172" s="165"/>
      <c r="W172" s="165"/>
      <c r="X172" s="165"/>
      <c r="Y172" s="165"/>
      <c r="Z172" s="165"/>
      <c r="AA172" s="165"/>
      <c r="AB172" s="165"/>
      <c r="AC172" s="165"/>
      <c r="AD172" s="165"/>
      <c r="AE172" s="165"/>
      <c r="AF172" s="165"/>
      <c r="AG172" s="165"/>
    </row>
    <row r="173" spans="1:33" ht="19.899999999999999" customHeight="1">
      <c r="U173" s="165"/>
      <c r="V173" s="165"/>
      <c r="W173" s="165"/>
      <c r="X173" s="165"/>
      <c r="Y173" s="165"/>
      <c r="Z173" s="165"/>
      <c r="AA173" s="165"/>
      <c r="AB173" s="165"/>
      <c r="AC173" s="165"/>
      <c r="AD173" s="165"/>
      <c r="AE173" s="165"/>
      <c r="AF173" s="165"/>
      <c r="AG173" s="165"/>
    </row>
    <row r="174" spans="1:33" ht="19.899999999999999" customHeight="1">
      <c r="U174" s="165"/>
      <c r="V174" s="165"/>
      <c r="W174" s="165"/>
      <c r="X174" s="165"/>
      <c r="Y174" s="165"/>
      <c r="Z174" s="165"/>
      <c r="AA174" s="165"/>
      <c r="AB174" s="165"/>
      <c r="AC174" s="165"/>
      <c r="AD174" s="165"/>
      <c r="AE174" s="165"/>
      <c r="AF174" s="165"/>
      <c r="AG174" s="165"/>
    </row>
    <row r="175" spans="1:33" ht="19.899999999999999" customHeight="1">
      <c r="U175" s="165"/>
      <c r="V175" s="165"/>
      <c r="W175" s="165"/>
      <c r="X175" s="165"/>
      <c r="Y175" s="165"/>
      <c r="Z175" s="165"/>
      <c r="AA175" s="165"/>
      <c r="AB175" s="165"/>
      <c r="AC175" s="165"/>
      <c r="AD175" s="165"/>
      <c r="AE175" s="165"/>
      <c r="AF175" s="165"/>
      <c r="AG175" s="165"/>
    </row>
    <row r="176" spans="1:33" ht="19.899999999999999" customHeight="1">
      <c r="U176" s="165"/>
      <c r="V176" s="165"/>
      <c r="W176" s="165"/>
      <c r="X176" s="165"/>
      <c r="Y176" s="165"/>
      <c r="Z176" s="165"/>
      <c r="AA176" s="165"/>
      <c r="AB176" s="165"/>
      <c r="AC176" s="165"/>
      <c r="AD176" s="165"/>
      <c r="AE176" s="165"/>
      <c r="AF176" s="165"/>
      <c r="AG176" s="165"/>
    </row>
    <row r="177" spans="21:33" ht="19.899999999999999" customHeight="1">
      <c r="U177" s="165"/>
      <c r="V177" s="165"/>
      <c r="W177" s="165"/>
      <c r="X177" s="165"/>
      <c r="Y177" s="165"/>
      <c r="Z177" s="165"/>
      <c r="AA177" s="165"/>
      <c r="AB177" s="165"/>
      <c r="AC177" s="165"/>
      <c r="AD177" s="165"/>
      <c r="AE177" s="165"/>
      <c r="AF177" s="165"/>
      <c r="AG177" s="165"/>
    </row>
    <row r="178" spans="21:33" ht="19.899999999999999" customHeight="1">
      <c r="U178" s="165"/>
      <c r="V178" s="165"/>
      <c r="W178" s="165"/>
      <c r="X178" s="165"/>
      <c r="Y178" s="165"/>
      <c r="Z178" s="165"/>
      <c r="AA178" s="165"/>
      <c r="AB178" s="165"/>
      <c r="AC178" s="165"/>
      <c r="AD178" s="165"/>
      <c r="AE178" s="165"/>
      <c r="AF178" s="165"/>
      <c r="AG178" s="165"/>
    </row>
    <row r="179" spans="21:33" ht="19.899999999999999" customHeight="1">
      <c r="U179" s="165"/>
      <c r="V179" s="165"/>
      <c r="W179" s="165"/>
      <c r="X179" s="165"/>
      <c r="Y179" s="165"/>
      <c r="Z179" s="165"/>
      <c r="AA179" s="165"/>
      <c r="AB179" s="165"/>
      <c r="AC179" s="165"/>
      <c r="AD179" s="165"/>
      <c r="AE179" s="165"/>
      <c r="AF179" s="165"/>
      <c r="AG179" s="165"/>
    </row>
    <row r="180" spans="21:33" ht="19.899999999999999" customHeight="1">
      <c r="U180" s="165"/>
      <c r="V180" s="165"/>
      <c r="W180" s="165"/>
      <c r="X180" s="165"/>
      <c r="Y180" s="165"/>
      <c r="Z180" s="165"/>
      <c r="AA180" s="165"/>
      <c r="AB180" s="165"/>
      <c r="AC180" s="165"/>
      <c r="AD180" s="165"/>
      <c r="AE180" s="165"/>
      <c r="AF180" s="165"/>
      <c r="AG180" s="165"/>
    </row>
    <row r="181" spans="21:33" ht="19.899999999999999" customHeight="1">
      <c r="U181" s="165"/>
      <c r="V181" s="165"/>
      <c r="W181" s="165"/>
      <c r="X181" s="165"/>
      <c r="Y181" s="165"/>
      <c r="Z181" s="165"/>
      <c r="AA181" s="165"/>
      <c r="AB181" s="165"/>
      <c r="AC181" s="165"/>
      <c r="AD181" s="165"/>
      <c r="AE181" s="165"/>
      <c r="AF181" s="165"/>
      <c r="AG181" s="165"/>
    </row>
    <row r="182" spans="21:33" ht="19.899999999999999" customHeight="1">
      <c r="U182" s="165"/>
      <c r="V182" s="165"/>
      <c r="W182" s="165"/>
      <c r="X182" s="165"/>
      <c r="Y182" s="165"/>
      <c r="Z182" s="165"/>
      <c r="AA182" s="165"/>
      <c r="AB182" s="165"/>
      <c r="AC182" s="165"/>
      <c r="AD182" s="165"/>
      <c r="AE182" s="165"/>
      <c r="AF182" s="165"/>
      <c r="AG182" s="165"/>
    </row>
    <row r="183" spans="21:33" ht="19.899999999999999" customHeight="1">
      <c r="U183" s="165"/>
      <c r="V183" s="165"/>
      <c r="W183" s="165"/>
      <c r="X183" s="165"/>
      <c r="Y183" s="165"/>
      <c r="Z183" s="165"/>
      <c r="AA183" s="165"/>
      <c r="AB183" s="165"/>
      <c r="AC183" s="165"/>
      <c r="AD183" s="165"/>
      <c r="AE183" s="165"/>
      <c r="AF183" s="165"/>
      <c r="AG183" s="165"/>
    </row>
    <row r="184" spans="21:33" ht="19.899999999999999" customHeight="1">
      <c r="U184" s="165"/>
      <c r="V184" s="165"/>
      <c r="W184" s="165"/>
      <c r="X184" s="165"/>
      <c r="Y184" s="165"/>
      <c r="Z184" s="165"/>
      <c r="AA184" s="165"/>
      <c r="AB184" s="165"/>
      <c r="AC184" s="165"/>
      <c r="AD184" s="165"/>
      <c r="AE184" s="165"/>
      <c r="AF184" s="165"/>
      <c r="AG184" s="165"/>
    </row>
    <row r="185" spans="21:33" ht="19.899999999999999" customHeight="1">
      <c r="U185" s="165"/>
      <c r="V185" s="165"/>
      <c r="W185" s="165"/>
      <c r="X185" s="165"/>
      <c r="Y185" s="165"/>
      <c r="Z185" s="165"/>
      <c r="AA185" s="165"/>
      <c r="AB185" s="165"/>
      <c r="AC185" s="165"/>
      <c r="AD185" s="165"/>
      <c r="AE185" s="165"/>
      <c r="AF185" s="165"/>
      <c r="AG185" s="165"/>
    </row>
    <row r="186" spans="21:33" ht="19.899999999999999" customHeight="1">
      <c r="U186" s="165"/>
      <c r="V186" s="165"/>
      <c r="W186" s="165"/>
      <c r="X186" s="165"/>
      <c r="Y186" s="165"/>
      <c r="Z186" s="165"/>
      <c r="AA186" s="165"/>
      <c r="AB186" s="165"/>
      <c r="AC186" s="165"/>
      <c r="AD186" s="165"/>
      <c r="AE186" s="165"/>
      <c r="AF186" s="165"/>
      <c r="AG186" s="165"/>
    </row>
    <row r="187" spans="21:33" ht="19.899999999999999" customHeight="1">
      <c r="U187" s="165"/>
      <c r="V187" s="165"/>
      <c r="W187" s="165"/>
      <c r="X187" s="165"/>
      <c r="Y187" s="165"/>
      <c r="Z187" s="165"/>
      <c r="AA187" s="165"/>
      <c r="AB187" s="165"/>
      <c r="AC187" s="165"/>
      <c r="AD187" s="165"/>
      <c r="AE187" s="165"/>
      <c r="AF187" s="165"/>
      <c r="AG187" s="165"/>
    </row>
    <row r="188" spans="21:33" ht="19.899999999999999" customHeight="1">
      <c r="U188" s="165"/>
      <c r="V188" s="165"/>
      <c r="W188" s="165"/>
      <c r="X188" s="165"/>
      <c r="Y188" s="165"/>
      <c r="Z188" s="165"/>
      <c r="AA188" s="165"/>
      <c r="AB188" s="165"/>
      <c r="AC188" s="165"/>
      <c r="AD188" s="165"/>
      <c r="AE188" s="165"/>
      <c r="AF188" s="165"/>
      <c r="AG188" s="165"/>
    </row>
    <row r="189" spans="21:33" ht="19.899999999999999" customHeight="1">
      <c r="U189" s="165"/>
      <c r="V189" s="165"/>
      <c r="W189" s="165"/>
      <c r="X189" s="165"/>
      <c r="Y189" s="165"/>
      <c r="Z189" s="165"/>
      <c r="AA189" s="165"/>
      <c r="AB189" s="165"/>
      <c r="AC189" s="165"/>
      <c r="AD189" s="165"/>
      <c r="AE189" s="165"/>
      <c r="AF189" s="165"/>
      <c r="AG189" s="165"/>
    </row>
    <row r="190" spans="21:33" ht="19.899999999999999" customHeight="1">
      <c r="U190" s="165"/>
      <c r="V190" s="165"/>
      <c r="W190" s="165"/>
      <c r="X190" s="165"/>
      <c r="Y190" s="165"/>
      <c r="Z190" s="165"/>
      <c r="AA190" s="165"/>
      <c r="AB190" s="165"/>
      <c r="AC190" s="165"/>
      <c r="AD190" s="165"/>
      <c r="AE190" s="165"/>
      <c r="AF190" s="165"/>
      <c r="AG190" s="165"/>
    </row>
    <row r="191" spans="21:33" ht="19.899999999999999" customHeight="1">
      <c r="U191" s="165"/>
      <c r="V191" s="165"/>
      <c r="W191" s="165"/>
      <c r="X191" s="165"/>
      <c r="Y191" s="165"/>
      <c r="Z191" s="165"/>
      <c r="AA191" s="165"/>
      <c r="AB191" s="165"/>
      <c r="AC191" s="165"/>
      <c r="AD191" s="165"/>
      <c r="AE191" s="165"/>
      <c r="AF191" s="165"/>
      <c r="AG191" s="165"/>
    </row>
    <row r="192" spans="21:33" ht="19.899999999999999" customHeight="1">
      <c r="U192" s="165"/>
      <c r="V192" s="165"/>
      <c r="W192" s="165"/>
      <c r="X192" s="165"/>
      <c r="Y192" s="165"/>
      <c r="Z192" s="165"/>
      <c r="AA192" s="165"/>
      <c r="AB192" s="165"/>
      <c r="AC192" s="165"/>
      <c r="AD192" s="165"/>
      <c r="AE192" s="165"/>
      <c r="AF192" s="165"/>
      <c r="AG192" s="165"/>
    </row>
    <row r="193" spans="21:33" ht="19.899999999999999" customHeight="1">
      <c r="U193" s="165"/>
      <c r="V193" s="165"/>
      <c r="W193" s="165"/>
      <c r="X193" s="165"/>
      <c r="Y193" s="165"/>
      <c r="Z193" s="165"/>
      <c r="AA193" s="165"/>
      <c r="AB193" s="165"/>
      <c r="AC193" s="165"/>
      <c r="AD193" s="165"/>
      <c r="AE193" s="165"/>
      <c r="AF193" s="165"/>
      <c r="AG193" s="165"/>
    </row>
    <row r="194" spans="21:33" ht="19.899999999999999" customHeight="1">
      <c r="U194" s="165"/>
      <c r="V194" s="165"/>
      <c r="W194" s="165"/>
      <c r="X194" s="165"/>
      <c r="Y194" s="165"/>
      <c r="Z194" s="165"/>
      <c r="AA194" s="165"/>
      <c r="AB194" s="165"/>
      <c r="AC194" s="165"/>
      <c r="AD194" s="165"/>
      <c r="AE194" s="165"/>
      <c r="AF194" s="165"/>
      <c r="AG194" s="165"/>
    </row>
    <row r="195" spans="21:33" ht="19.899999999999999" customHeight="1">
      <c r="U195" s="165"/>
      <c r="V195" s="165"/>
      <c r="W195" s="165"/>
      <c r="X195" s="165"/>
      <c r="Y195" s="165"/>
      <c r="Z195" s="165"/>
      <c r="AA195" s="165"/>
      <c r="AB195" s="165"/>
      <c r="AC195" s="165"/>
      <c r="AD195" s="165"/>
      <c r="AE195" s="165"/>
      <c r="AF195" s="165"/>
      <c r="AG195" s="165"/>
    </row>
    <row r="196" spans="21:33" ht="19.899999999999999" customHeight="1">
      <c r="U196" s="165"/>
      <c r="V196" s="165"/>
      <c r="W196" s="165"/>
      <c r="X196" s="165"/>
      <c r="Y196" s="165"/>
      <c r="Z196" s="165"/>
      <c r="AA196" s="165"/>
      <c r="AB196" s="165"/>
      <c r="AC196" s="165"/>
      <c r="AD196" s="165"/>
      <c r="AE196" s="165"/>
      <c r="AF196" s="165"/>
      <c r="AG196" s="165"/>
    </row>
    <row r="197" spans="21:33" ht="19.899999999999999" customHeight="1">
      <c r="U197" s="165"/>
      <c r="V197" s="165"/>
      <c r="W197" s="165"/>
      <c r="X197" s="165"/>
      <c r="Y197" s="165"/>
      <c r="Z197" s="165"/>
      <c r="AA197" s="165"/>
      <c r="AB197" s="165"/>
      <c r="AC197" s="165"/>
      <c r="AD197" s="165"/>
      <c r="AE197" s="165"/>
      <c r="AF197" s="165"/>
      <c r="AG197" s="165"/>
    </row>
    <row r="198" spans="21:33" ht="19.899999999999999" customHeight="1">
      <c r="U198" s="165"/>
      <c r="V198" s="165"/>
      <c r="W198" s="165"/>
      <c r="X198" s="165"/>
      <c r="Y198" s="165"/>
      <c r="Z198" s="165"/>
      <c r="AA198" s="165"/>
      <c r="AB198" s="165"/>
      <c r="AC198" s="165"/>
      <c r="AD198" s="165"/>
      <c r="AE198" s="165"/>
      <c r="AF198" s="165"/>
      <c r="AG198" s="165"/>
    </row>
    <row r="199" spans="21:33" ht="19.899999999999999" customHeight="1">
      <c r="U199" s="165"/>
      <c r="V199" s="165"/>
      <c r="W199" s="165"/>
      <c r="X199" s="165"/>
      <c r="Y199" s="165"/>
      <c r="Z199" s="165"/>
      <c r="AA199" s="165"/>
      <c r="AB199" s="165"/>
      <c r="AC199" s="165"/>
      <c r="AD199" s="165"/>
      <c r="AE199" s="165"/>
      <c r="AF199" s="165"/>
      <c r="AG199" s="165"/>
    </row>
    <row r="200" spans="21:33" ht="19.899999999999999" customHeight="1">
      <c r="U200" s="165"/>
      <c r="V200" s="165"/>
      <c r="W200" s="165"/>
      <c r="X200" s="165"/>
      <c r="Y200" s="165"/>
      <c r="Z200" s="165"/>
      <c r="AA200" s="165"/>
      <c r="AB200" s="165"/>
      <c r="AC200" s="165"/>
      <c r="AD200" s="165"/>
      <c r="AE200" s="165"/>
      <c r="AF200" s="165"/>
      <c r="AG200" s="165"/>
    </row>
    <row r="201" spans="21:33" ht="19.899999999999999" customHeight="1">
      <c r="U201" s="165"/>
      <c r="V201" s="165"/>
      <c r="W201" s="165"/>
      <c r="X201" s="165"/>
      <c r="Y201" s="165"/>
      <c r="Z201" s="165"/>
      <c r="AA201" s="165"/>
      <c r="AB201" s="165"/>
      <c r="AC201" s="165"/>
      <c r="AD201" s="165"/>
      <c r="AE201" s="165"/>
      <c r="AF201" s="165"/>
      <c r="AG201" s="165"/>
    </row>
    <row r="202" spans="21:33" ht="19.899999999999999" customHeight="1">
      <c r="U202" s="165"/>
      <c r="V202" s="165"/>
      <c r="W202" s="165"/>
      <c r="X202" s="165"/>
      <c r="Y202" s="165"/>
      <c r="Z202" s="165"/>
      <c r="AA202" s="165"/>
      <c r="AB202" s="165"/>
      <c r="AC202" s="165"/>
      <c r="AD202" s="165"/>
      <c r="AE202" s="165"/>
      <c r="AF202" s="165"/>
      <c r="AG202" s="165"/>
    </row>
    <row r="203" spans="21:33" ht="19.899999999999999" customHeight="1">
      <c r="U203" s="165"/>
      <c r="V203" s="165"/>
      <c r="W203" s="165"/>
      <c r="X203" s="165"/>
      <c r="Y203" s="165"/>
      <c r="Z203" s="165"/>
      <c r="AA203" s="165"/>
      <c r="AB203" s="165"/>
      <c r="AC203" s="165"/>
      <c r="AD203" s="165"/>
      <c r="AE203" s="165"/>
      <c r="AF203" s="165"/>
      <c r="AG203" s="165"/>
    </row>
    <row r="204" spans="21:33" ht="19.899999999999999" customHeight="1">
      <c r="U204" s="165"/>
      <c r="V204" s="165"/>
      <c r="W204" s="165"/>
      <c r="X204" s="165"/>
      <c r="Y204" s="165"/>
      <c r="Z204" s="165"/>
      <c r="AA204" s="165"/>
      <c r="AB204" s="165"/>
      <c r="AC204" s="165"/>
      <c r="AD204" s="165"/>
      <c r="AE204" s="165"/>
      <c r="AF204" s="165"/>
      <c r="AG204" s="165"/>
    </row>
    <row r="205" spans="21:33" ht="19.899999999999999" customHeight="1">
      <c r="U205" s="165"/>
      <c r="V205" s="165"/>
      <c r="W205" s="165"/>
      <c r="X205" s="165"/>
      <c r="Y205" s="165"/>
      <c r="Z205" s="165"/>
      <c r="AA205" s="165"/>
      <c r="AB205" s="165"/>
      <c r="AC205" s="165"/>
      <c r="AD205" s="165"/>
      <c r="AE205" s="165"/>
      <c r="AF205" s="165"/>
      <c r="AG205" s="165"/>
    </row>
    <row r="206" spans="21:33" ht="19.899999999999999" customHeight="1">
      <c r="U206" s="165"/>
      <c r="V206" s="165"/>
      <c r="W206" s="165"/>
      <c r="X206" s="165"/>
      <c r="Y206" s="165"/>
      <c r="Z206" s="165"/>
      <c r="AA206" s="165"/>
      <c r="AB206" s="165"/>
      <c r="AC206" s="165"/>
      <c r="AD206" s="165"/>
      <c r="AE206" s="165"/>
      <c r="AF206" s="165"/>
      <c r="AG206" s="165"/>
    </row>
    <row r="207" spans="21:33" ht="19.899999999999999" customHeight="1">
      <c r="U207" s="165"/>
      <c r="V207" s="165"/>
      <c r="W207" s="165"/>
      <c r="X207" s="165"/>
      <c r="Y207" s="165"/>
      <c r="Z207" s="165"/>
      <c r="AA207" s="165"/>
      <c r="AB207" s="165"/>
      <c r="AC207" s="165"/>
      <c r="AD207" s="165"/>
      <c r="AE207" s="165"/>
      <c r="AF207" s="165"/>
      <c r="AG207" s="165"/>
    </row>
    <row r="208" spans="21:33" ht="19.899999999999999" customHeight="1">
      <c r="U208" s="165"/>
      <c r="V208" s="165"/>
      <c r="W208" s="165"/>
      <c r="X208" s="165"/>
      <c r="Y208" s="165"/>
      <c r="Z208" s="165"/>
      <c r="AA208" s="165"/>
      <c r="AB208" s="165"/>
      <c r="AC208" s="165"/>
      <c r="AD208" s="165"/>
      <c r="AE208" s="165"/>
      <c r="AF208" s="165"/>
      <c r="AG208" s="165"/>
    </row>
    <row r="209" spans="21:33" ht="19.899999999999999" customHeight="1">
      <c r="U209" s="165"/>
      <c r="V209" s="165"/>
      <c r="W209" s="165"/>
      <c r="X209" s="165"/>
      <c r="Y209" s="165"/>
      <c r="Z209" s="165"/>
      <c r="AA209" s="165"/>
      <c r="AB209" s="165"/>
      <c r="AC209" s="165"/>
      <c r="AD209" s="165"/>
      <c r="AE209" s="165"/>
      <c r="AF209" s="165"/>
      <c r="AG209" s="165"/>
    </row>
    <row r="210" spans="21:33" ht="19.899999999999999" customHeight="1">
      <c r="U210" s="165"/>
      <c r="V210" s="165"/>
      <c r="W210" s="165"/>
      <c r="X210" s="165"/>
      <c r="Y210" s="165"/>
      <c r="Z210" s="165"/>
      <c r="AA210" s="165"/>
      <c r="AB210" s="165"/>
      <c r="AC210" s="165"/>
      <c r="AD210" s="165"/>
      <c r="AE210" s="165"/>
      <c r="AF210" s="165"/>
      <c r="AG210" s="165"/>
    </row>
    <row r="211" spans="21:33" ht="19.899999999999999" customHeight="1">
      <c r="U211" s="165"/>
      <c r="V211" s="165"/>
      <c r="W211" s="165"/>
      <c r="X211" s="165"/>
      <c r="Y211" s="165"/>
      <c r="Z211" s="165"/>
      <c r="AA211" s="165"/>
      <c r="AB211" s="165"/>
      <c r="AC211" s="165"/>
      <c r="AD211" s="165"/>
      <c r="AE211" s="165"/>
      <c r="AF211" s="165"/>
      <c r="AG211" s="165"/>
    </row>
    <row r="212" spans="21:33" ht="19.899999999999999" customHeight="1">
      <c r="U212" s="165"/>
      <c r="V212" s="165"/>
      <c r="W212" s="165"/>
      <c r="X212" s="165"/>
      <c r="Y212" s="165"/>
      <c r="Z212" s="165"/>
      <c r="AA212" s="165"/>
      <c r="AB212" s="165"/>
      <c r="AC212" s="165"/>
      <c r="AD212" s="165"/>
      <c r="AE212" s="165"/>
      <c r="AF212" s="165"/>
      <c r="AG212" s="165"/>
    </row>
    <row r="213" spans="21:33" ht="19.899999999999999" customHeight="1">
      <c r="U213" s="165"/>
      <c r="V213" s="165"/>
      <c r="W213" s="165"/>
      <c r="X213" s="165"/>
      <c r="Y213" s="165"/>
      <c r="Z213" s="165"/>
      <c r="AA213" s="165"/>
      <c r="AB213" s="165"/>
      <c r="AC213" s="165"/>
      <c r="AD213" s="165"/>
      <c r="AE213" s="165"/>
      <c r="AF213" s="165"/>
      <c r="AG213" s="165"/>
    </row>
    <row r="214" spans="21:33" ht="19.899999999999999" customHeight="1">
      <c r="U214" s="165"/>
      <c r="V214" s="165"/>
      <c r="W214" s="165"/>
      <c r="X214" s="165"/>
      <c r="Y214" s="165"/>
      <c r="Z214" s="165"/>
      <c r="AA214" s="165"/>
      <c r="AB214" s="165"/>
      <c r="AC214" s="165"/>
      <c r="AD214" s="165"/>
      <c r="AE214" s="165"/>
      <c r="AF214" s="165"/>
      <c r="AG214" s="165"/>
    </row>
    <row r="215" spans="21:33" ht="19.899999999999999" customHeight="1">
      <c r="U215" s="165"/>
      <c r="V215" s="165"/>
      <c r="W215" s="165"/>
      <c r="X215" s="165"/>
      <c r="Y215" s="165"/>
      <c r="Z215" s="165"/>
      <c r="AA215" s="165"/>
      <c r="AB215" s="165"/>
      <c r="AC215" s="165"/>
      <c r="AD215" s="165"/>
      <c r="AE215" s="165"/>
      <c r="AF215" s="165"/>
      <c r="AG215" s="165"/>
    </row>
    <row r="216" spans="21:33" ht="19.899999999999999" customHeight="1">
      <c r="U216" s="165"/>
      <c r="V216" s="165"/>
      <c r="W216" s="165"/>
      <c r="X216" s="165"/>
      <c r="Y216" s="165"/>
      <c r="Z216" s="165"/>
      <c r="AA216" s="165"/>
      <c r="AB216" s="165"/>
      <c r="AC216" s="165"/>
      <c r="AD216" s="165"/>
      <c r="AE216" s="165"/>
      <c r="AF216" s="165"/>
      <c r="AG216" s="165"/>
    </row>
    <row r="217" spans="21:33" ht="19.899999999999999" customHeight="1">
      <c r="U217" s="165"/>
      <c r="V217" s="165"/>
      <c r="W217" s="165"/>
      <c r="X217" s="165"/>
      <c r="Y217" s="165"/>
      <c r="Z217" s="165"/>
      <c r="AA217" s="165"/>
      <c r="AB217" s="165"/>
      <c r="AC217" s="165"/>
      <c r="AD217" s="165"/>
      <c r="AE217" s="165"/>
      <c r="AF217" s="165"/>
      <c r="AG217" s="165"/>
    </row>
    <row r="218" spans="21:33" ht="19.899999999999999" customHeight="1">
      <c r="U218" s="165"/>
      <c r="V218" s="165"/>
      <c r="W218" s="165"/>
      <c r="X218" s="165"/>
      <c r="Y218" s="165"/>
      <c r="Z218" s="165"/>
      <c r="AA218" s="165"/>
      <c r="AB218" s="165"/>
      <c r="AC218" s="165"/>
      <c r="AD218" s="165"/>
      <c r="AE218" s="165"/>
      <c r="AF218" s="165"/>
      <c r="AG218" s="165"/>
    </row>
    <row r="219" spans="21:33" ht="19.899999999999999" customHeight="1">
      <c r="U219" s="165"/>
      <c r="V219" s="165"/>
      <c r="W219" s="165"/>
      <c r="X219" s="165"/>
      <c r="Y219" s="165"/>
      <c r="Z219" s="165"/>
      <c r="AA219" s="165"/>
      <c r="AB219" s="165"/>
      <c r="AC219" s="165"/>
      <c r="AD219" s="165"/>
      <c r="AE219" s="165"/>
      <c r="AF219" s="165"/>
      <c r="AG219" s="165"/>
    </row>
    <row r="220" spans="21:33" ht="19.899999999999999" customHeight="1">
      <c r="U220" s="165"/>
      <c r="V220" s="165"/>
      <c r="W220" s="165"/>
      <c r="X220" s="165"/>
      <c r="Y220" s="165"/>
      <c r="Z220" s="165"/>
      <c r="AA220" s="165"/>
      <c r="AB220" s="165"/>
      <c r="AC220" s="165"/>
      <c r="AD220" s="165"/>
      <c r="AE220" s="165"/>
      <c r="AF220" s="165"/>
      <c r="AG220" s="165"/>
    </row>
    <row r="221" spans="21:33" ht="19.899999999999999" customHeight="1">
      <c r="U221" s="165"/>
      <c r="V221" s="165"/>
      <c r="W221" s="165"/>
      <c r="X221" s="165"/>
      <c r="Y221" s="165"/>
      <c r="Z221" s="165"/>
      <c r="AA221" s="165"/>
      <c r="AB221" s="165"/>
      <c r="AC221" s="165"/>
      <c r="AD221" s="165"/>
      <c r="AE221" s="165"/>
      <c r="AF221" s="165"/>
      <c r="AG221" s="165"/>
    </row>
    <row r="222" spans="21:33" ht="19.899999999999999" customHeight="1">
      <c r="U222" s="165"/>
      <c r="V222" s="165"/>
      <c r="W222" s="165"/>
      <c r="X222" s="165"/>
      <c r="Y222" s="165"/>
      <c r="Z222" s="165"/>
      <c r="AA222" s="165"/>
      <c r="AB222" s="165"/>
      <c r="AC222" s="165"/>
      <c r="AD222" s="165"/>
      <c r="AE222" s="165"/>
      <c r="AF222" s="165"/>
      <c r="AG222" s="165"/>
    </row>
    <row r="223" spans="21:33" ht="19.899999999999999" customHeight="1">
      <c r="U223" s="165"/>
      <c r="V223" s="165"/>
      <c r="W223" s="165"/>
      <c r="X223" s="165"/>
      <c r="Y223" s="165"/>
      <c r="Z223" s="165"/>
      <c r="AA223" s="165"/>
      <c r="AB223" s="165"/>
      <c r="AC223" s="165"/>
      <c r="AD223" s="165"/>
      <c r="AE223" s="165"/>
      <c r="AF223" s="165"/>
      <c r="AG223" s="165"/>
    </row>
    <row r="224" spans="21:33" ht="19.899999999999999" customHeight="1">
      <c r="U224" s="165"/>
      <c r="V224" s="165"/>
      <c r="W224" s="165"/>
      <c r="X224" s="165"/>
      <c r="Y224" s="165"/>
      <c r="Z224" s="165"/>
      <c r="AA224" s="165"/>
      <c r="AB224" s="165"/>
      <c r="AC224" s="165"/>
      <c r="AD224" s="165"/>
      <c r="AE224" s="165"/>
      <c r="AF224" s="165"/>
      <c r="AG224" s="165"/>
    </row>
    <row r="225" spans="21:33" ht="19.899999999999999" customHeight="1">
      <c r="U225" s="165"/>
      <c r="V225" s="165"/>
      <c r="W225" s="165"/>
      <c r="X225" s="165"/>
      <c r="Y225" s="165"/>
      <c r="Z225" s="165"/>
      <c r="AA225" s="165"/>
      <c r="AB225" s="165"/>
      <c r="AC225" s="165"/>
      <c r="AD225" s="165"/>
      <c r="AE225" s="165"/>
      <c r="AF225" s="165"/>
      <c r="AG225" s="165"/>
    </row>
    <row r="226" spans="21:33" ht="19.899999999999999" customHeight="1">
      <c r="U226" s="165"/>
      <c r="V226" s="165"/>
      <c r="W226" s="165"/>
      <c r="X226" s="165"/>
      <c r="Y226" s="165"/>
      <c r="Z226" s="165"/>
      <c r="AA226" s="165"/>
      <c r="AB226" s="165"/>
      <c r="AC226" s="165"/>
      <c r="AD226" s="165"/>
      <c r="AE226" s="165"/>
      <c r="AF226" s="165"/>
      <c r="AG226" s="165"/>
    </row>
    <row r="227" spans="21:33" ht="19.899999999999999" customHeight="1">
      <c r="U227" s="165"/>
      <c r="V227" s="165"/>
      <c r="W227" s="165"/>
      <c r="X227" s="165"/>
      <c r="Y227" s="165"/>
      <c r="Z227" s="165"/>
      <c r="AA227" s="165"/>
      <c r="AB227" s="165"/>
      <c r="AC227" s="165"/>
      <c r="AD227" s="165"/>
      <c r="AE227" s="165"/>
      <c r="AF227" s="165"/>
      <c r="AG227" s="165"/>
    </row>
    <row r="228" spans="21:33" ht="19.899999999999999" customHeight="1">
      <c r="U228" s="165"/>
      <c r="V228" s="165"/>
      <c r="W228" s="165"/>
      <c r="X228" s="165"/>
      <c r="Y228" s="165"/>
      <c r="Z228" s="165"/>
      <c r="AA228" s="165"/>
      <c r="AB228" s="165"/>
      <c r="AC228" s="165"/>
      <c r="AD228" s="165"/>
      <c r="AE228" s="165"/>
      <c r="AF228" s="165"/>
      <c r="AG228" s="165"/>
    </row>
    <row r="229" spans="21:33" ht="19.899999999999999" customHeight="1">
      <c r="U229" s="165"/>
      <c r="V229" s="165"/>
      <c r="W229" s="165"/>
      <c r="X229" s="165"/>
      <c r="Y229" s="165"/>
      <c r="Z229" s="165"/>
      <c r="AA229" s="165"/>
      <c r="AB229" s="165"/>
      <c r="AC229" s="165"/>
      <c r="AD229" s="165"/>
      <c r="AE229" s="165"/>
      <c r="AF229" s="165"/>
      <c r="AG229" s="165"/>
    </row>
    <row r="230" spans="21:33" ht="19.899999999999999" customHeight="1">
      <c r="U230" s="165"/>
      <c r="V230" s="165"/>
      <c r="W230" s="165"/>
      <c r="X230" s="165"/>
      <c r="Y230" s="165"/>
      <c r="Z230" s="165"/>
      <c r="AA230" s="165"/>
      <c r="AB230" s="165"/>
      <c r="AC230" s="165"/>
      <c r="AD230" s="165"/>
      <c r="AE230" s="165"/>
      <c r="AF230" s="165"/>
      <c r="AG230" s="165"/>
    </row>
    <row r="231" spans="21:33" ht="19.899999999999999" customHeight="1">
      <c r="U231" s="165"/>
      <c r="V231" s="165"/>
      <c r="W231" s="165"/>
      <c r="X231" s="165"/>
      <c r="Y231" s="165"/>
      <c r="Z231" s="165"/>
      <c r="AA231" s="165"/>
      <c r="AB231" s="165"/>
      <c r="AC231" s="165"/>
      <c r="AD231" s="165"/>
      <c r="AE231" s="165"/>
      <c r="AF231" s="165"/>
      <c r="AG231" s="165"/>
    </row>
    <row r="232" spans="21:33" ht="19.899999999999999" customHeight="1">
      <c r="U232" s="165"/>
      <c r="V232" s="165"/>
      <c r="W232" s="165"/>
      <c r="X232" s="165"/>
      <c r="Y232" s="165"/>
      <c r="Z232" s="165"/>
      <c r="AA232" s="165"/>
      <c r="AB232" s="165"/>
      <c r="AC232" s="165"/>
      <c r="AD232" s="165"/>
      <c r="AE232" s="165"/>
      <c r="AF232" s="165"/>
      <c r="AG232" s="165"/>
    </row>
    <row r="233" spans="21:33" ht="19.899999999999999" customHeight="1">
      <c r="U233" s="165"/>
      <c r="V233" s="165"/>
      <c r="W233" s="165"/>
      <c r="X233" s="165"/>
      <c r="Y233" s="165"/>
      <c r="Z233" s="165"/>
      <c r="AA233" s="165"/>
      <c r="AB233" s="165"/>
      <c r="AC233" s="165"/>
      <c r="AD233" s="165"/>
      <c r="AE233" s="165"/>
      <c r="AF233" s="165"/>
      <c r="AG233" s="165"/>
    </row>
    <row r="234" spans="21:33" ht="19.899999999999999" customHeight="1">
      <c r="U234" s="165"/>
      <c r="V234" s="165"/>
      <c r="W234" s="165"/>
      <c r="X234" s="165"/>
      <c r="Y234" s="165"/>
      <c r="Z234" s="165"/>
      <c r="AA234" s="165"/>
      <c r="AB234" s="165"/>
      <c r="AC234" s="165"/>
      <c r="AD234" s="165"/>
      <c r="AE234" s="165"/>
      <c r="AF234" s="165"/>
      <c r="AG234" s="165"/>
    </row>
    <row r="235" spans="21:33" ht="19.899999999999999" customHeight="1">
      <c r="U235" s="165"/>
      <c r="V235" s="165"/>
      <c r="W235" s="165"/>
      <c r="X235" s="165"/>
      <c r="Y235" s="165"/>
      <c r="Z235" s="165"/>
      <c r="AA235" s="165"/>
      <c r="AB235" s="165"/>
      <c r="AC235" s="165"/>
      <c r="AD235" s="165"/>
      <c r="AE235" s="165"/>
      <c r="AF235" s="165"/>
      <c r="AG235" s="165"/>
    </row>
    <row r="236" spans="21:33" ht="19.899999999999999" customHeight="1">
      <c r="U236" s="165"/>
      <c r="V236" s="165"/>
      <c r="W236" s="165"/>
      <c r="X236" s="165"/>
      <c r="Y236" s="165"/>
      <c r="Z236" s="165"/>
      <c r="AA236" s="165"/>
      <c r="AB236" s="165"/>
      <c r="AC236" s="165"/>
      <c r="AD236" s="165"/>
      <c r="AE236" s="165"/>
      <c r="AF236" s="165"/>
      <c r="AG236" s="165"/>
    </row>
    <row r="237" spans="21:33" ht="19.899999999999999" customHeight="1">
      <c r="U237" s="165"/>
      <c r="V237" s="165"/>
      <c r="W237" s="165"/>
      <c r="X237" s="165"/>
      <c r="Y237" s="165"/>
      <c r="Z237" s="165"/>
      <c r="AA237" s="165"/>
      <c r="AB237" s="165"/>
      <c r="AC237" s="165"/>
      <c r="AD237" s="165"/>
      <c r="AE237" s="165"/>
      <c r="AF237" s="165"/>
      <c r="AG237" s="165"/>
    </row>
    <row r="238" spans="21:33" ht="19.899999999999999" customHeight="1">
      <c r="U238" s="165"/>
      <c r="V238" s="165"/>
      <c r="W238" s="165"/>
      <c r="X238" s="165"/>
      <c r="Y238" s="165"/>
      <c r="Z238" s="165"/>
      <c r="AA238" s="165"/>
      <c r="AB238" s="165"/>
      <c r="AC238" s="165"/>
      <c r="AD238" s="165"/>
      <c r="AE238" s="165"/>
      <c r="AF238" s="165"/>
      <c r="AG238" s="165"/>
    </row>
    <row r="239" spans="21:33" ht="19.899999999999999" customHeight="1">
      <c r="U239" s="165"/>
      <c r="V239" s="165"/>
      <c r="W239" s="165"/>
      <c r="X239" s="165"/>
      <c r="Y239" s="165"/>
      <c r="Z239" s="165"/>
      <c r="AA239" s="165"/>
      <c r="AB239" s="165"/>
      <c r="AC239" s="165"/>
      <c r="AD239" s="165"/>
      <c r="AE239" s="165"/>
      <c r="AF239" s="165"/>
      <c r="AG239" s="165"/>
    </row>
    <row r="240" spans="21:33" ht="19.899999999999999" customHeight="1">
      <c r="U240" s="165"/>
      <c r="V240" s="165"/>
      <c r="W240" s="165"/>
      <c r="X240" s="165"/>
      <c r="Y240" s="165"/>
      <c r="Z240" s="165"/>
      <c r="AA240" s="165"/>
      <c r="AB240" s="165"/>
      <c r="AC240" s="165"/>
      <c r="AD240" s="165"/>
      <c r="AE240" s="165"/>
      <c r="AF240" s="165"/>
      <c r="AG240" s="165"/>
    </row>
    <row r="241" spans="21:33" ht="19.899999999999999" customHeight="1">
      <c r="U241" s="165"/>
      <c r="V241" s="165"/>
      <c r="W241" s="165"/>
      <c r="X241" s="165"/>
      <c r="Y241" s="165"/>
      <c r="Z241" s="165"/>
      <c r="AA241" s="165"/>
      <c r="AB241" s="165"/>
      <c r="AC241" s="165"/>
      <c r="AD241" s="165"/>
      <c r="AE241" s="165"/>
      <c r="AF241" s="165"/>
      <c r="AG241" s="165"/>
    </row>
    <row r="242" spans="21:33" ht="19.899999999999999" customHeight="1">
      <c r="U242" s="165"/>
      <c r="V242" s="165"/>
      <c r="W242" s="165"/>
      <c r="X242" s="165"/>
      <c r="Y242" s="165"/>
      <c r="Z242" s="165"/>
      <c r="AA242" s="165"/>
      <c r="AB242" s="165"/>
      <c r="AC242" s="165"/>
      <c r="AD242" s="165"/>
      <c r="AE242" s="165"/>
      <c r="AF242" s="165"/>
      <c r="AG242" s="165"/>
    </row>
    <row r="243" spans="21:33" ht="19.899999999999999" customHeight="1">
      <c r="U243" s="165"/>
      <c r="V243" s="165"/>
      <c r="W243" s="165"/>
      <c r="X243" s="165"/>
      <c r="Y243" s="165"/>
      <c r="Z243" s="165"/>
      <c r="AA243" s="165"/>
      <c r="AB243" s="165"/>
      <c r="AC243" s="165"/>
      <c r="AD243" s="165"/>
      <c r="AE243" s="165"/>
      <c r="AF243" s="165"/>
      <c r="AG243" s="165"/>
    </row>
    <row r="244" spans="21:33" ht="19.899999999999999" customHeight="1">
      <c r="U244" s="165"/>
      <c r="V244" s="165"/>
      <c r="W244" s="165"/>
      <c r="X244" s="165"/>
      <c r="Y244" s="165"/>
      <c r="Z244" s="165"/>
      <c r="AA244" s="165"/>
      <c r="AB244" s="165"/>
      <c r="AC244" s="165"/>
      <c r="AD244" s="165"/>
      <c r="AE244" s="165"/>
      <c r="AF244" s="165"/>
      <c r="AG244" s="165"/>
    </row>
    <row r="245" spans="21:33" ht="19.899999999999999" customHeight="1">
      <c r="U245" s="165"/>
      <c r="V245" s="165"/>
      <c r="W245" s="165"/>
      <c r="X245" s="165"/>
      <c r="Y245" s="165"/>
      <c r="Z245" s="165"/>
      <c r="AA245" s="165"/>
      <c r="AB245" s="165"/>
      <c r="AC245" s="165"/>
      <c r="AD245" s="165"/>
      <c r="AE245" s="165"/>
      <c r="AF245" s="165"/>
      <c r="AG245" s="165"/>
    </row>
    <row r="246" spans="21:33" ht="19.899999999999999" customHeight="1">
      <c r="U246" s="165"/>
      <c r="V246" s="165"/>
      <c r="W246" s="165"/>
      <c r="X246" s="165"/>
      <c r="Y246" s="165"/>
      <c r="Z246" s="165"/>
      <c r="AA246" s="165"/>
      <c r="AB246" s="165"/>
      <c r="AC246" s="165"/>
      <c r="AD246" s="165"/>
      <c r="AE246" s="165"/>
      <c r="AF246" s="165"/>
      <c r="AG246" s="165"/>
    </row>
    <row r="247" spans="21:33" ht="19.899999999999999" customHeight="1">
      <c r="U247" s="165"/>
      <c r="V247" s="165"/>
      <c r="W247" s="165"/>
      <c r="X247" s="165"/>
      <c r="Y247" s="165"/>
      <c r="Z247" s="165"/>
      <c r="AA247" s="165"/>
      <c r="AB247" s="165"/>
      <c r="AC247" s="165"/>
      <c r="AD247" s="165"/>
      <c r="AE247" s="165"/>
      <c r="AF247" s="165"/>
      <c r="AG247" s="165"/>
    </row>
    <row r="248" spans="21:33" ht="19.899999999999999" customHeight="1">
      <c r="U248" s="165"/>
      <c r="V248" s="165"/>
      <c r="W248" s="165"/>
      <c r="X248" s="165"/>
      <c r="Y248" s="165"/>
      <c r="Z248" s="165"/>
      <c r="AA248" s="165"/>
      <c r="AB248" s="165"/>
      <c r="AC248" s="165"/>
      <c r="AD248" s="165"/>
      <c r="AE248" s="165"/>
      <c r="AF248" s="165"/>
      <c r="AG248" s="165"/>
    </row>
    <row r="249" spans="21:33" ht="19.899999999999999" customHeight="1">
      <c r="U249" s="165"/>
      <c r="V249" s="165"/>
      <c r="W249" s="165"/>
      <c r="X249" s="165"/>
      <c r="Y249" s="165"/>
      <c r="Z249" s="165"/>
      <c r="AA249" s="165"/>
      <c r="AB249" s="165"/>
      <c r="AC249" s="165"/>
      <c r="AD249" s="165"/>
      <c r="AE249" s="165"/>
      <c r="AF249" s="165"/>
      <c r="AG249" s="165"/>
    </row>
    <row r="250" spans="21:33" ht="19.899999999999999" customHeight="1">
      <c r="U250" s="165"/>
      <c r="V250" s="165"/>
      <c r="W250" s="165"/>
      <c r="X250" s="165"/>
      <c r="Y250" s="165"/>
      <c r="Z250" s="165"/>
      <c r="AA250" s="165"/>
      <c r="AB250" s="165"/>
      <c r="AC250" s="165"/>
      <c r="AD250" s="165"/>
      <c r="AE250" s="165"/>
      <c r="AF250" s="165"/>
      <c r="AG250" s="165"/>
    </row>
    <row r="251" spans="21:33" ht="19.899999999999999" customHeight="1">
      <c r="U251" s="165"/>
      <c r="V251" s="165"/>
      <c r="W251" s="165"/>
      <c r="X251" s="165"/>
      <c r="Y251" s="165"/>
      <c r="Z251" s="165"/>
      <c r="AA251" s="165"/>
      <c r="AB251" s="165"/>
      <c r="AC251" s="165"/>
      <c r="AD251" s="165"/>
      <c r="AE251" s="165"/>
      <c r="AF251" s="165"/>
      <c r="AG251" s="165"/>
    </row>
    <row r="252" spans="21:33" ht="19.899999999999999" customHeight="1">
      <c r="U252" s="165"/>
      <c r="V252" s="165"/>
      <c r="W252" s="165"/>
      <c r="X252" s="165"/>
      <c r="Y252" s="165"/>
      <c r="Z252" s="165"/>
      <c r="AA252" s="165"/>
      <c r="AB252" s="165"/>
      <c r="AC252" s="165"/>
      <c r="AD252" s="165"/>
      <c r="AE252" s="165"/>
      <c r="AF252" s="165"/>
      <c r="AG252" s="165"/>
    </row>
    <row r="253" spans="21:33" ht="19.899999999999999" customHeight="1">
      <c r="U253" s="165"/>
      <c r="V253" s="165"/>
      <c r="W253" s="165"/>
      <c r="X253" s="165"/>
      <c r="Y253" s="165"/>
      <c r="Z253" s="165"/>
      <c r="AA253" s="165"/>
      <c r="AB253" s="165"/>
      <c r="AC253" s="165"/>
      <c r="AD253" s="165"/>
      <c r="AE253" s="165"/>
      <c r="AF253" s="165"/>
      <c r="AG253" s="165"/>
    </row>
    <row r="254" spans="21:33" ht="19.899999999999999" customHeight="1">
      <c r="U254" s="165"/>
      <c r="V254" s="165"/>
      <c r="W254" s="165"/>
      <c r="X254" s="165"/>
      <c r="Y254" s="165"/>
      <c r="Z254" s="165"/>
      <c r="AA254" s="165"/>
      <c r="AB254" s="165"/>
      <c r="AC254" s="165"/>
      <c r="AD254" s="165"/>
      <c r="AE254" s="165"/>
      <c r="AF254" s="165"/>
      <c r="AG254" s="165"/>
    </row>
    <row r="255" spans="21:33" ht="19.899999999999999" customHeight="1">
      <c r="U255" s="165"/>
      <c r="V255" s="165"/>
      <c r="W255" s="165"/>
      <c r="X255" s="165"/>
      <c r="Y255" s="165"/>
      <c r="Z255" s="165"/>
      <c r="AA255" s="165"/>
      <c r="AB255" s="165"/>
      <c r="AC255" s="165"/>
      <c r="AD255" s="165"/>
      <c r="AE255" s="165"/>
      <c r="AF255" s="165"/>
      <c r="AG255" s="165"/>
    </row>
    <row r="256" spans="21:33" ht="19.899999999999999" customHeight="1">
      <c r="U256" s="165"/>
      <c r="V256" s="165"/>
      <c r="W256" s="165"/>
      <c r="X256" s="165"/>
      <c r="Y256" s="165"/>
      <c r="Z256" s="165"/>
      <c r="AA256" s="165"/>
      <c r="AB256" s="165"/>
      <c r="AC256" s="165"/>
      <c r="AD256" s="165"/>
      <c r="AE256" s="165"/>
      <c r="AF256" s="165"/>
      <c r="AG256" s="165"/>
    </row>
    <row r="257" spans="21:33" ht="19.899999999999999" customHeight="1">
      <c r="U257" s="165"/>
      <c r="V257" s="165"/>
      <c r="W257" s="165"/>
      <c r="X257" s="165"/>
      <c r="Y257" s="165"/>
      <c r="Z257" s="165"/>
      <c r="AA257" s="165"/>
      <c r="AB257" s="165"/>
      <c r="AC257" s="165"/>
      <c r="AD257" s="165"/>
      <c r="AE257" s="165"/>
      <c r="AF257" s="165"/>
      <c r="AG257" s="165"/>
    </row>
    <row r="258" spans="21:33" ht="19.899999999999999" customHeight="1">
      <c r="U258" s="165"/>
      <c r="V258" s="165"/>
      <c r="W258" s="165"/>
      <c r="X258" s="165"/>
      <c r="Y258" s="165"/>
      <c r="Z258" s="165"/>
      <c r="AA258" s="165"/>
      <c r="AB258" s="165"/>
      <c r="AC258" s="165"/>
      <c r="AD258" s="165"/>
      <c r="AE258" s="165"/>
      <c r="AF258" s="165"/>
      <c r="AG258" s="165"/>
    </row>
    <row r="259" spans="21:33" ht="19.899999999999999" customHeight="1">
      <c r="U259" s="165"/>
      <c r="V259" s="165"/>
      <c r="W259" s="165"/>
      <c r="X259" s="165"/>
      <c r="Y259" s="165"/>
      <c r="Z259" s="165"/>
      <c r="AA259" s="165"/>
      <c r="AB259" s="165"/>
      <c r="AC259" s="165"/>
      <c r="AD259" s="165"/>
      <c r="AE259" s="165"/>
      <c r="AF259" s="165"/>
      <c r="AG259" s="165"/>
    </row>
    <row r="260" spans="21:33" ht="19.899999999999999" customHeight="1">
      <c r="U260" s="165"/>
      <c r="V260" s="165"/>
      <c r="W260" s="165"/>
      <c r="X260" s="165"/>
      <c r="Y260" s="165"/>
      <c r="Z260" s="165"/>
      <c r="AA260" s="165"/>
      <c r="AB260" s="165"/>
      <c r="AC260" s="165"/>
      <c r="AD260" s="165"/>
      <c r="AE260" s="165"/>
      <c r="AF260" s="165"/>
      <c r="AG260" s="165"/>
    </row>
    <row r="261" spans="21:33" ht="19.899999999999999" customHeight="1">
      <c r="U261" s="165"/>
      <c r="V261" s="165"/>
      <c r="W261" s="165"/>
      <c r="X261" s="165"/>
      <c r="Y261" s="165"/>
      <c r="Z261" s="165"/>
      <c r="AA261" s="165"/>
      <c r="AB261" s="165"/>
      <c r="AC261" s="165"/>
      <c r="AD261" s="165"/>
      <c r="AE261" s="165"/>
      <c r="AF261" s="165"/>
      <c r="AG261" s="165"/>
    </row>
    <row r="262" spans="21:33" ht="19.899999999999999" customHeight="1">
      <c r="U262" s="165"/>
      <c r="V262" s="165"/>
      <c r="W262" s="165"/>
      <c r="X262" s="165"/>
      <c r="Y262" s="165"/>
      <c r="Z262" s="165"/>
      <c r="AA262" s="165"/>
      <c r="AB262" s="165"/>
      <c r="AC262" s="165"/>
      <c r="AD262" s="165"/>
      <c r="AE262" s="165"/>
      <c r="AF262" s="165"/>
      <c r="AG262" s="165"/>
    </row>
    <row r="263" spans="21:33" ht="19.899999999999999" customHeight="1">
      <c r="U263" s="165"/>
      <c r="V263" s="165"/>
      <c r="W263" s="165"/>
      <c r="X263" s="165"/>
      <c r="Y263" s="165"/>
      <c r="Z263" s="165"/>
      <c r="AA263" s="165"/>
      <c r="AB263" s="165"/>
      <c r="AC263" s="165"/>
      <c r="AD263" s="165"/>
      <c r="AE263" s="165"/>
      <c r="AF263" s="165"/>
      <c r="AG263" s="165"/>
    </row>
    <row r="264" spans="21:33" ht="19.899999999999999" customHeight="1">
      <c r="U264" s="165"/>
      <c r="V264" s="165"/>
      <c r="W264" s="165"/>
      <c r="X264" s="165"/>
      <c r="Y264" s="165"/>
      <c r="Z264" s="165"/>
      <c r="AA264" s="165"/>
      <c r="AB264" s="165"/>
      <c r="AC264" s="165"/>
      <c r="AD264" s="165"/>
      <c r="AE264" s="165"/>
      <c r="AF264" s="165"/>
      <c r="AG264" s="165"/>
    </row>
    <row r="265" spans="21:33" ht="19.899999999999999" customHeight="1">
      <c r="U265" s="165"/>
      <c r="V265" s="165"/>
      <c r="W265" s="165"/>
      <c r="X265" s="165"/>
      <c r="Y265" s="165"/>
      <c r="Z265" s="165"/>
      <c r="AA265" s="165"/>
      <c r="AB265" s="165"/>
      <c r="AC265" s="165"/>
      <c r="AD265" s="165"/>
      <c r="AE265" s="165"/>
      <c r="AF265" s="165"/>
      <c r="AG265" s="165"/>
    </row>
    <row r="266" spans="21:33" ht="19.899999999999999" customHeight="1">
      <c r="U266" s="165"/>
      <c r="V266" s="165"/>
      <c r="W266" s="165"/>
      <c r="X266" s="165"/>
      <c r="Y266" s="165"/>
      <c r="Z266" s="165"/>
      <c r="AA266" s="165"/>
      <c r="AB266" s="165"/>
      <c r="AC266" s="165"/>
      <c r="AD266" s="165"/>
      <c r="AE266" s="165"/>
      <c r="AF266" s="165"/>
      <c r="AG266" s="165"/>
    </row>
    <row r="267" spans="21:33" ht="19.899999999999999" customHeight="1">
      <c r="U267" s="165"/>
      <c r="V267" s="165"/>
      <c r="W267" s="165"/>
      <c r="X267" s="165"/>
      <c r="Y267" s="165"/>
      <c r="Z267" s="165"/>
      <c r="AA267" s="165"/>
      <c r="AB267" s="165"/>
      <c r="AC267" s="165"/>
      <c r="AD267" s="165"/>
      <c r="AE267" s="165"/>
      <c r="AF267" s="165"/>
      <c r="AG267" s="165"/>
    </row>
    <row r="268" spans="21:33" ht="19.899999999999999" customHeight="1">
      <c r="U268" s="165"/>
      <c r="V268" s="165"/>
      <c r="W268" s="165"/>
      <c r="X268" s="165"/>
      <c r="Y268" s="165"/>
      <c r="Z268" s="165"/>
      <c r="AA268" s="165"/>
      <c r="AB268" s="165"/>
      <c r="AC268" s="165"/>
      <c r="AD268" s="165"/>
      <c r="AE268" s="165"/>
      <c r="AF268" s="165"/>
      <c r="AG268" s="165"/>
    </row>
    <row r="269" spans="21:33" ht="19.899999999999999" customHeight="1">
      <c r="U269" s="165"/>
      <c r="V269" s="165"/>
      <c r="W269" s="165"/>
      <c r="X269" s="165"/>
      <c r="Y269" s="165"/>
      <c r="Z269" s="165"/>
      <c r="AA269" s="165"/>
      <c r="AB269" s="165"/>
      <c r="AC269" s="165"/>
      <c r="AD269" s="165"/>
      <c r="AE269" s="165"/>
      <c r="AF269" s="165"/>
      <c r="AG269" s="165"/>
    </row>
    <row r="270" spans="21:33" ht="19.899999999999999" customHeight="1">
      <c r="U270" s="165"/>
      <c r="V270" s="165"/>
      <c r="W270" s="165"/>
      <c r="X270" s="165"/>
      <c r="Y270" s="165"/>
      <c r="Z270" s="165"/>
      <c r="AA270" s="165"/>
      <c r="AB270" s="165"/>
      <c r="AC270" s="165"/>
      <c r="AD270" s="165"/>
      <c r="AE270" s="165"/>
      <c r="AF270" s="165"/>
      <c r="AG270" s="165"/>
    </row>
    <row r="271" spans="21:33" ht="19.899999999999999" customHeight="1">
      <c r="U271" s="165"/>
      <c r="V271" s="165"/>
      <c r="W271" s="165"/>
      <c r="X271" s="165"/>
      <c r="Y271" s="165"/>
      <c r="Z271" s="165"/>
      <c r="AA271" s="165"/>
      <c r="AB271" s="165"/>
      <c r="AC271" s="165"/>
      <c r="AD271" s="165"/>
      <c r="AE271" s="165"/>
      <c r="AF271" s="165"/>
      <c r="AG271" s="165"/>
    </row>
    <row r="272" spans="21:33" ht="19.899999999999999" customHeight="1">
      <c r="U272" s="165"/>
      <c r="V272" s="165"/>
      <c r="W272" s="165"/>
      <c r="X272" s="165"/>
      <c r="Y272" s="165"/>
      <c r="Z272" s="165"/>
      <c r="AA272" s="165"/>
      <c r="AB272" s="165"/>
      <c r="AC272" s="165"/>
      <c r="AD272" s="165"/>
      <c r="AE272" s="165"/>
      <c r="AF272" s="165"/>
      <c r="AG272" s="165"/>
    </row>
    <row r="273" spans="21:33" ht="19.899999999999999" customHeight="1">
      <c r="U273" s="165"/>
      <c r="V273" s="165"/>
      <c r="W273" s="165"/>
      <c r="X273" s="165"/>
      <c r="Y273" s="165"/>
      <c r="Z273" s="165"/>
      <c r="AA273" s="165"/>
      <c r="AB273" s="165"/>
      <c r="AC273" s="165"/>
      <c r="AD273" s="165"/>
      <c r="AE273" s="165"/>
      <c r="AF273" s="165"/>
      <c r="AG273" s="165"/>
    </row>
    <row r="274" spans="21:33" ht="19.899999999999999" customHeight="1">
      <c r="U274" s="165"/>
      <c r="V274" s="165"/>
      <c r="W274" s="165"/>
      <c r="X274" s="165"/>
      <c r="Y274" s="165"/>
      <c r="Z274" s="165"/>
      <c r="AA274" s="165"/>
      <c r="AB274" s="165"/>
      <c r="AC274" s="165"/>
      <c r="AD274" s="165"/>
      <c r="AE274" s="165"/>
      <c r="AF274" s="165"/>
      <c r="AG274" s="165"/>
    </row>
    <row r="275" spans="21:33" ht="19.899999999999999" customHeight="1">
      <c r="U275" s="165"/>
      <c r="V275" s="165"/>
      <c r="W275" s="165"/>
      <c r="X275" s="165"/>
      <c r="Y275" s="165"/>
      <c r="Z275" s="165"/>
      <c r="AA275" s="165"/>
      <c r="AB275" s="165"/>
      <c r="AC275" s="165"/>
      <c r="AD275" s="165"/>
      <c r="AE275" s="165"/>
      <c r="AF275" s="165"/>
      <c r="AG275" s="165"/>
    </row>
    <row r="276" spans="21:33" ht="19.899999999999999" customHeight="1">
      <c r="U276" s="165"/>
      <c r="V276" s="165"/>
      <c r="W276" s="165"/>
      <c r="X276" s="165"/>
      <c r="Y276" s="165"/>
      <c r="Z276" s="165"/>
      <c r="AA276" s="165"/>
      <c r="AB276" s="165"/>
      <c r="AC276" s="165"/>
      <c r="AD276" s="165"/>
      <c r="AE276" s="165"/>
      <c r="AF276" s="165"/>
      <c r="AG276" s="165"/>
    </row>
    <row r="277" spans="21:33" ht="19.899999999999999" customHeight="1">
      <c r="U277" s="165"/>
      <c r="V277" s="165"/>
      <c r="W277" s="165"/>
      <c r="X277" s="165"/>
      <c r="Y277" s="165"/>
      <c r="Z277" s="165"/>
      <c r="AA277" s="165"/>
      <c r="AB277" s="165"/>
      <c r="AC277" s="165"/>
      <c r="AD277" s="165"/>
      <c r="AE277" s="165"/>
      <c r="AF277" s="165"/>
      <c r="AG277" s="165"/>
    </row>
    <row r="278" spans="21:33" ht="19.899999999999999" customHeight="1">
      <c r="U278" s="165"/>
      <c r="V278" s="165"/>
      <c r="W278" s="165"/>
      <c r="X278" s="165"/>
      <c r="Y278" s="165"/>
      <c r="Z278" s="165"/>
      <c r="AA278" s="165"/>
      <c r="AB278" s="165"/>
      <c r="AC278" s="165"/>
      <c r="AD278" s="165"/>
      <c r="AE278" s="165"/>
      <c r="AF278" s="165"/>
      <c r="AG278" s="165"/>
    </row>
    <row r="279" spans="21:33" ht="19.899999999999999" customHeight="1">
      <c r="U279" s="165"/>
      <c r="V279" s="165"/>
      <c r="W279" s="165"/>
      <c r="X279" s="165"/>
      <c r="Y279" s="165"/>
      <c r="Z279" s="165"/>
      <c r="AA279" s="165"/>
      <c r="AB279" s="165"/>
      <c r="AC279" s="165"/>
      <c r="AD279" s="165"/>
      <c r="AE279" s="165"/>
      <c r="AF279" s="165"/>
      <c r="AG279" s="165"/>
    </row>
    <row r="280" spans="21:33" ht="19.899999999999999" customHeight="1">
      <c r="U280" s="165"/>
      <c r="V280" s="165"/>
      <c r="W280" s="165"/>
      <c r="X280" s="165"/>
      <c r="Y280" s="165"/>
      <c r="Z280" s="165"/>
      <c r="AA280" s="165"/>
      <c r="AB280" s="165"/>
      <c r="AC280" s="165"/>
      <c r="AD280" s="165"/>
      <c r="AE280" s="165"/>
      <c r="AF280" s="165"/>
      <c r="AG280" s="165"/>
    </row>
    <row r="281" spans="21:33" ht="19.899999999999999" customHeight="1">
      <c r="U281" s="165"/>
      <c r="V281" s="165"/>
      <c r="W281" s="165"/>
      <c r="X281" s="165"/>
      <c r="Y281" s="165"/>
      <c r="Z281" s="165"/>
      <c r="AA281" s="165"/>
      <c r="AB281" s="165"/>
      <c r="AC281" s="165"/>
      <c r="AD281" s="165"/>
      <c r="AE281" s="165"/>
      <c r="AF281" s="165"/>
      <c r="AG281" s="165"/>
    </row>
    <row r="282" spans="21:33" ht="19.899999999999999" customHeight="1">
      <c r="U282" s="165"/>
      <c r="V282" s="165"/>
      <c r="W282" s="165"/>
      <c r="X282" s="165"/>
      <c r="Y282" s="165"/>
      <c r="Z282" s="165"/>
      <c r="AA282" s="165"/>
      <c r="AB282" s="165"/>
      <c r="AC282" s="165"/>
      <c r="AD282" s="165"/>
      <c r="AE282" s="165"/>
      <c r="AF282" s="165"/>
      <c r="AG282" s="165"/>
    </row>
    <row r="283" spans="21:33" ht="19.899999999999999" customHeight="1">
      <c r="U283" s="165"/>
      <c r="V283" s="165"/>
      <c r="W283" s="165"/>
      <c r="X283" s="165"/>
      <c r="Y283" s="165"/>
      <c r="Z283" s="165"/>
      <c r="AA283" s="165"/>
      <c r="AB283" s="165"/>
      <c r="AC283" s="165"/>
      <c r="AD283" s="165"/>
      <c r="AE283" s="165"/>
      <c r="AF283" s="165"/>
      <c r="AG283" s="165"/>
    </row>
    <row r="284" spans="21:33" ht="19.899999999999999" customHeight="1">
      <c r="U284" s="165"/>
      <c r="V284" s="165"/>
      <c r="W284" s="165"/>
      <c r="X284" s="165"/>
      <c r="Y284" s="165"/>
      <c r="Z284" s="165"/>
      <c r="AA284" s="165"/>
      <c r="AB284" s="165"/>
      <c r="AC284" s="165"/>
      <c r="AD284" s="165"/>
      <c r="AE284" s="165"/>
      <c r="AF284" s="165"/>
      <c r="AG284" s="165"/>
    </row>
    <row r="285" spans="21:33" ht="19.899999999999999" customHeight="1">
      <c r="U285" s="165"/>
      <c r="V285" s="165"/>
      <c r="W285" s="165"/>
      <c r="X285" s="165"/>
      <c r="Y285" s="165"/>
      <c r="Z285" s="165"/>
      <c r="AA285" s="165"/>
      <c r="AB285" s="165"/>
      <c r="AC285" s="165"/>
      <c r="AD285" s="165"/>
      <c r="AE285" s="165"/>
      <c r="AF285" s="165"/>
      <c r="AG285" s="165"/>
    </row>
    <row r="286" spans="21:33" ht="19.899999999999999" customHeight="1">
      <c r="U286" s="165"/>
      <c r="V286" s="165"/>
      <c r="W286" s="165"/>
      <c r="X286" s="165"/>
      <c r="Y286" s="165"/>
      <c r="Z286" s="165"/>
      <c r="AA286" s="165"/>
      <c r="AB286" s="165"/>
      <c r="AC286" s="165"/>
      <c r="AD286" s="165"/>
      <c r="AE286" s="165"/>
      <c r="AF286" s="165"/>
      <c r="AG286" s="165"/>
    </row>
    <row r="287" spans="21:33" ht="19.899999999999999" customHeight="1">
      <c r="U287" s="165"/>
      <c r="V287" s="165"/>
      <c r="W287" s="165"/>
      <c r="X287" s="165"/>
      <c r="Y287" s="165"/>
      <c r="Z287" s="165"/>
      <c r="AA287" s="165"/>
      <c r="AB287" s="165"/>
      <c r="AC287" s="165"/>
      <c r="AD287" s="165"/>
      <c r="AE287" s="165"/>
      <c r="AF287" s="165"/>
      <c r="AG287" s="165"/>
    </row>
    <row r="288" spans="21:33" ht="19.899999999999999" customHeight="1">
      <c r="U288" s="165"/>
      <c r="V288" s="165"/>
      <c r="W288" s="165"/>
      <c r="X288" s="165"/>
      <c r="Y288" s="165"/>
      <c r="Z288" s="165"/>
      <c r="AA288" s="165"/>
      <c r="AB288" s="165"/>
      <c r="AC288" s="165"/>
      <c r="AD288" s="165"/>
      <c r="AE288" s="165"/>
      <c r="AF288" s="165"/>
      <c r="AG288" s="165"/>
    </row>
    <row r="289" spans="21:33" ht="19.899999999999999" customHeight="1">
      <c r="U289" s="165"/>
      <c r="V289" s="165"/>
      <c r="W289" s="165"/>
      <c r="X289" s="165"/>
      <c r="Y289" s="165"/>
      <c r="Z289" s="165"/>
      <c r="AA289" s="165"/>
      <c r="AB289" s="165"/>
      <c r="AC289" s="165"/>
      <c r="AD289" s="165"/>
      <c r="AE289" s="165"/>
      <c r="AF289" s="165"/>
      <c r="AG289" s="165"/>
    </row>
    <row r="290" spans="21:33" ht="19.899999999999999" customHeight="1">
      <c r="U290" s="165"/>
      <c r="V290" s="165"/>
      <c r="W290" s="165"/>
      <c r="X290" s="165"/>
      <c r="Y290" s="165"/>
      <c r="Z290" s="165"/>
      <c r="AA290" s="165"/>
      <c r="AB290" s="165"/>
      <c r="AC290" s="165"/>
      <c r="AD290" s="165"/>
      <c r="AE290" s="165"/>
      <c r="AF290" s="165"/>
      <c r="AG290" s="165"/>
    </row>
    <row r="291" spans="21:33" ht="19.899999999999999" customHeight="1">
      <c r="U291" s="165"/>
      <c r="V291" s="165"/>
      <c r="W291" s="165"/>
      <c r="X291" s="165"/>
      <c r="Y291" s="165"/>
      <c r="Z291" s="165"/>
      <c r="AA291" s="165"/>
      <c r="AB291" s="165"/>
      <c r="AC291" s="165"/>
      <c r="AD291" s="165"/>
      <c r="AE291" s="165"/>
      <c r="AF291" s="165"/>
      <c r="AG291" s="165"/>
    </row>
    <row r="292" spans="21:33" ht="19.899999999999999" customHeight="1">
      <c r="U292" s="165"/>
      <c r="V292" s="165"/>
      <c r="W292" s="165"/>
      <c r="X292" s="165"/>
      <c r="Y292" s="165"/>
      <c r="Z292" s="165"/>
      <c r="AA292" s="165"/>
      <c r="AB292" s="165"/>
      <c r="AC292" s="165"/>
      <c r="AD292" s="165"/>
      <c r="AE292" s="165"/>
      <c r="AF292" s="165"/>
      <c r="AG292" s="165"/>
    </row>
    <row r="293" spans="21:33" ht="19.899999999999999" customHeight="1">
      <c r="U293" s="165"/>
      <c r="V293" s="165"/>
      <c r="W293" s="165"/>
      <c r="X293" s="165"/>
      <c r="Y293" s="165"/>
      <c r="Z293" s="165"/>
      <c r="AA293" s="165"/>
      <c r="AB293" s="165"/>
      <c r="AC293" s="165"/>
      <c r="AD293" s="165"/>
      <c r="AE293" s="165"/>
      <c r="AF293" s="165"/>
      <c r="AG293" s="165"/>
    </row>
    <row r="294" spans="21:33" ht="19.899999999999999" customHeight="1">
      <c r="U294" s="165"/>
      <c r="V294" s="165"/>
      <c r="W294" s="165"/>
      <c r="X294" s="165"/>
      <c r="Y294" s="165"/>
      <c r="Z294" s="165"/>
      <c r="AA294" s="165"/>
      <c r="AB294" s="165"/>
      <c r="AC294" s="165"/>
      <c r="AD294" s="165"/>
      <c r="AE294" s="165"/>
      <c r="AF294" s="165"/>
      <c r="AG294" s="165"/>
    </row>
    <row r="295" spans="21:33" ht="19.899999999999999" customHeight="1">
      <c r="U295" s="165"/>
      <c r="V295" s="165"/>
      <c r="W295" s="165"/>
      <c r="X295" s="165"/>
      <c r="Y295" s="165"/>
      <c r="Z295" s="165"/>
      <c r="AA295" s="165"/>
      <c r="AB295" s="165"/>
      <c r="AC295" s="165"/>
      <c r="AD295" s="165"/>
      <c r="AE295" s="165"/>
      <c r="AF295" s="165"/>
      <c r="AG295" s="165"/>
    </row>
    <row r="296" spans="21:33" ht="19.899999999999999" customHeight="1">
      <c r="U296" s="165"/>
      <c r="V296" s="165"/>
      <c r="W296" s="165"/>
      <c r="X296" s="165"/>
      <c r="Y296" s="165"/>
      <c r="Z296" s="165"/>
      <c r="AA296" s="165"/>
      <c r="AB296" s="165"/>
      <c r="AC296" s="165"/>
      <c r="AD296" s="165"/>
      <c r="AE296" s="165"/>
      <c r="AF296" s="165"/>
      <c r="AG296" s="165"/>
    </row>
    <row r="297" spans="21:33" ht="19.899999999999999" customHeight="1">
      <c r="U297" s="165"/>
      <c r="V297" s="165"/>
      <c r="W297" s="165"/>
      <c r="X297" s="165"/>
      <c r="Y297" s="165"/>
      <c r="Z297" s="165"/>
      <c r="AA297" s="165"/>
      <c r="AB297" s="165"/>
      <c r="AC297" s="165"/>
      <c r="AD297" s="165"/>
      <c r="AE297" s="165"/>
      <c r="AF297" s="165"/>
      <c r="AG297" s="165"/>
    </row>
    <row r="298" spans="21:33" ht="19.899999999999999" customHeight="1">
      <c r="U298" s="165"/>
      <c r="V298" s="165"/>
      <c r="W298" s="165"/>
      <c r="X298" s="165"/>
      <c r="Y298" s="165"/>
      <c r="Z298" s="165"/>
      <c r="AA298" s="165"/>
      <c r="AB298" s="165"/>
      <c r="AC298" s="165"/>
      <c r="AD298" s="165"/>
      <c r="AE298" s="165"/>
      <c r="AF298" s="165"/>
      <c r="AG298" s="165"/>
    </row>
    <row r="299" spans="21:33" ht="19.899999999999999" customHeight="1">
      <c r="U299" s="165"/>
      <c r="V299" s="165"/>
      <c r="W299" s="165"/>
      <c r="X299" s="165"/>
      <c r="Y299" s="165"/>
      <c r="Z299" s="165"/>
      <c r="AA299" s="165"/>
      <c r="AB299" s="165"/>
      <c r="AC299" s="165"/>
      <c r="AD299" s="165"/>
      <c r="AE299" s="165"/>
      <c r="AF299" s="165"/>
      <c r="AG299" s="165"/>
    </row>
    <row r="300" spans="21:33" ht="19.899999999999999" customHeight="1">
      <c r="U300" s="165"/>
      <c r="V300" s="165"/>
      <c r="W300" s="165"/>
      <c r="X300" s="165"/>
      <c r="Y300" s="165"/>
      <c r="Z300" s="165"/>
      <c r="AA300" s="165"/>
      <c r="AB300" s="165"/>
      <c r="AC300" s="165"/>
      <c r="AD300" s="165"/>
      <c r="AE300" s="165"/>
      <c r="AF300" s="165"/>
      <c r="AG300" s="165"/>
    </row>
    <row r="301" spans="21:33" ht="19.899999999999999" customHeight="1">
      <c r="U301" s="165"/>
      <c r="V301" s="165"/>
      <c r="W301" s="165"/>
      <c r="X301" s="165"/>
      <c r="Y301" s="165"/>
      <c r="Z301" s="165"/>
      <c r="AA301" s="165"/>
      <c r="AB301" s="165"/>
      <c r="AC301" s="165"/>
      <c r="AD301" s="165"/>
      <c r="AE301" s="165"/>
      <c r="AF301" s="165"/>
      <c r="AG301" s="165"/>
    </row>
    <row r="302" spans="21:33" ht="19.899999999999999" customHeight="1">
      <c r="U302" s="165"/>
      <c r="V302" s="165"/>
      <c r="W302" s="165"/>
      <c r="X302" s="165"/>
      <c r="Y302" s="165"/>
      <c r="Z302" s="165"/>
      <c r="AA302" s="165"/>
      <c r="AB302" s="165"/>
      <c r="AC302" s="165"/>
      <c r="AD302" s="165"/>
      <c r="AE302" s="165"/>
      <c r="AF302" s="165"/>
      <c r="AG302" s="165"/>
    </row>
    <row r="303" spans="21:33" ht="19.899999999999999" customHeight="1">
      <c r="U303" s="165"/>
      <c r="V303" s="165"/>
      <c r="W303" s="165"/>
      <c r="X303" s="165"/>
      <c r="Y303" s="165"/>
      <c r="Z303" s="165"/>
      <c r="AA303" s="165"/>
      <c r="AB303" s="165"/>
      <c r="AC303" s="165"/>
      <c r="AD303" s="165"/>
      <c r="AE303" s="165"/>
      <c r="AF303" s="165"/>
      <c r="AG303" s="165"/>
    </row>
    <row r="304" spans="21:33" ht="19.899999999999999" customHeight="1">
      <c r="U304" s="165"/>
      <c r="V304" s="165"/>
      <c r="W304" s="165"/>
      <c r="X304" s="165"/>
      <c r="Y304" s="165"/>
      <c r="Z304" s="165"/>
      <c r="AA304" s="165"/>
      <c r="AB304" s="165"/>
      <c r="AC304" s="165"/>
      <c r="AD304" s="165"/>
      <c r="AE304" s="165"/>
      <c r="AF304" s="165"/>
      <c r="AG304" s="165"/>
    </row>
    <row r="305" spans="21:33" ht="19.899999999999999" customHeight="1">
      <c r="U305" s="165"/>
      <c r="V305" s="165"/>
      <c r="W305" s="165"/>
      <c r="X305" s="165"/>
      <c r="Y305" s="165"/>
      <c r="Z305" s="165"/>
      <c r="AA305" s="165"/>
      <c r="AB305" s="165"/>
      <c r="AC305" s="165"/>
      <c r="AD305" s="165"/>
      <c r="AE305" s="165"/>
      <c r="AF305" s="165"/>
      <c r="AG305" s="165"/>
    </row>
    <row r="306" spans="21:33" ht="19.899999999999999" customHeight="1">
      <c r="U306" s="165"/>
      <c r="V306" s="165"/>
      <c r="W306" s="165"/>
      <c r="X306" s="165"/>
      <c r="Y306" s="165"/>
      <c r="Z306" s="165"/>
      <c r="AA306" s="165"/>
      <c r="AB306" s="165"/>
      <c r="AC306" s="165"/>
      <c r="AD306" s="165"/>
      <c r="AE306" s="165"/>
      <c r="AF306" s="165"/>
      <c r="AG306" s="165"/>
    </row>
    <row r="307" spans="21:33" ht="19.899999999999999" customHeight="1">
      <c r="U307" s="165"/>
      <c r="V307" s="165"/>
      <c r="W307" s="165"/>
      <c r="X307" s="165"/>
      <c r="Y307" s="165"/>
      <c r="Z307" s="165"/>
      <c r="AA307" s="165"/>
      <c r="AB307" s="165"/>
      <c r="AC307" s="165"/>
      <c r="AD307" s="165"/>
      <c r="AE307" s="165"/>
      <c r="AF307" s="165"/>
      <c r="AG307" s="165"/>
    </row>
    <row r="308" spans="21:33" ht="19.899999999999999" customHeight="1">
      <c r="U308" s="165"/>
      <c r="V308" s="165"/>
      <c r="W308" s="165"/>
      <c r="X308" s="165"/>
      <c r="Y308" s="165"/>
      <c r="Z308" s="165"/>
      <c r="AA308" s="165"/>
      <c r="AB308" s="165"/>
      <c r="AC308" s="165"/>
      <c r="AD308" s="165"/>
      <c r="AE308" s="165"/>
      <c r="AF308" s="165"/>
      <c r="AG308" s="165"/>
    </row>
    <row r="309" spans="21:33" ht="19.899999999999999" customHeight="1">
      <c r="U309" s="165"/>
      <c r="V309" s="165"/>
      <c r="W309" s="165"/>
      <c r="X309" s="165"/>
      <c r="Y309" s="165"/>
      <c r="Z309" s="165"/>
      <c r="AA309" s="165"/>
      <c r="AB309" s="165"/>
      <c r="AC309" s="165"/>
      <c r="AD309" s="165"/>
      <c r="AE309" s="165"/>
      <c r="AF309" s="165"/>
      <c r="AG309" s="165"/>
    </row>
    <row r="310" spans="21:33" ht="19.899999999999999" customHeight="1">
      <c r="U310" s="165"/>
      <c r="V310" s="165"/>
      <c r="W310" s="165"/>
      <c r="X310" s="165"/>
      <c r="Y310" s="165"/>
      <c r="Z310" s="165"/>
      <c r="AA310" s="165"/>
      <c r="AB310" s="165"/>
      <c r="AC310" s="165"/>
      <c r="AD310" s="165"/>
      <c r="AE310" s="165"/>
      <c r="AF310" s="165"/>
      <c r="AG310" s="165"/>
    </row>
    <row r="311" spans="21:33" ht="19.899999999999999" customHeight="1">
      <c r="U311" s="165"/>
      <c r="V311" s="165"/>
      <c r="W311" s="165"/>
      <c r="X311" s="165"/>
      <c r="Y311" s="165"/>
      <c r="Z311" s="165"/>
      <c r="AA311" s="165"/>
      <c r="AB311" s="165"/>
      <c r="AC311" s="165"/>
      <c r="AD311" s="165"/>
      <c r="AE311" s="165"/>
      <c r="AF311" s="165"/>
      <c r="AG311" s="165"/>
    </row>
    <row r="312" spans="21:33" ht="19.899999999999999" customHeight="1">
      <c r="U312" s="165"/>
      <c r="V312" s="165"/>
      <c r="W312" s="165"/>
      <c r="X312" s="165"/>
      <c r="Y312" s="165"/>
      <c r="Z312" s="165"/>
      <c r="AA312" s="165"/>
      <c r="AB312" s="165"/>
      <c r="AC312" s="165"/>
      <c r="AD312" s="165"/>
      <c r="AE312" s="165"/>
      <c r="AF312" s="165"/>
      <c r="AG312" s="165"/>
    </row>
    <row r="313" spans="21:33" ht="19.899999999999999" customHeight="1">
      <c r="U313" s="165"/>
      <c r="V313" s="165"/>
      <c r="W313" s="165"/>
      <c r="X313" s="165"/>
      <c r="Y313" s="165"/>
      <c r="Z313" s="165"/>
      <c r="AA313" s="165"/>
      <c r="AB313" s="165"/>
      <c r="AC313" s="165"/>
      <c r="AD313" s="165"/>
      <c r="AE313" s="165"/>
      <c r="AF313" s="165"/>
      <c r="AG313" s="165"/>
    </row>
    <row r="314" spans="21:33" ht="19.899999999999999" customHeight="1">
      <c r="U314" s="165"/>
      <c r="V314" s="165"/>
      <c r="W314" s="165"/>
      <c r="X314" s="165"/>
      <c r="Y314" s="165"/>
      <c r="Z314" s="165"/>
      <c r="AA314" s="165"/>
      <c r="AB314" s="165"/>
      <c r="AC314" s="165"/>
      <c r="AD314" s="165"/>
      <c r="AE314" s="165"/>
      <c r="AF314" s="165"/>
      <c r="AG314" s="165"/>
    </row>
    <row r="315" spans="21:33" ht="19.899999999999999" customHeight="1">
      <c r="U315" s="165"/>
      <c r="V315" s="165"/>
      <c r="W315" s="165"/>
      <c r="X315" s="165"/>
      <c r="Y315" s="165"/>
      <c r="Z315" s="165"/>
      <c r="AA315" s="165"/>
      <c r="AB315" s="165"/>
      <c r="AC315" s="165"/>
      <c r="AD315" s="165"/>
      <c r="AE315" s="165"/>
      <c r="AF315" s="165"/>
      <c r="AG315" s="165"/>
    </row>
    <row r="316" spans="21:33" ht="19.899999999999999" customHeight="1">
      <c r="U316" s="165"/>
      <c r="V316" s="165"/>
      <c r="W316" s="165"/>
      <c r="X316" s="165"/>
      <c r="Y316" s="165"/>
      <c r="Z316" s="165"/>
      <c r="AA316" s="165"/>
      <c r="AB316" s="165"/>
      <c r="AC316" s="165"/>
      <c r="AD316" s="165"/>
      <c r="AE316" s="165"/>
      <c r="AF316" s="165"/>
      <c r="AG316" s="165"/>
    </row>
    <row r="317" spans="21:33" ht="19.899999999999999" customHeight="1">
      <c r="U317" s="165"/>
      <c r="V317" s="165"/>
      <c r="W317" s="165"/>
      <c r="X317" s="165"/>
      <c r="Y317" s="165"/>
      <c r="Z317" s="165"/>
      <c r="AA317" s="165"/>
      <c r="AB317" s="165"/>
      <c r="AC317" s="165"/>
      <c r="AD317" s="165"/>
      <c r="AE317" s="165"/>
      <c r="AF317" s="165"/>
      <c r="AG317" s="165"/>
    </row>
    <row r="318" spans="21:33" ht="19.899999999999999" customHeight="1">
      <c r="U318" s="165"/>
      <c r="V318" s="165"/>
      <c r="W318" s="165"/>
      <c r="X318" s="165"/>
      <c r="Y318" s="165"/>
      <c r="Z318" s="165"/>
      <c r="AA318" s="165"/>
      <c r="AB318" s="165"/>
      <c r="AC318" s="165"/>
      <c r="AD318" s="165"/>
      <c r="AE318" s="165"/>
      <c r="AF318" s="165"/>
      <c r="AG318" s="165"/>
    </row>
    <row r="319" spans="21:33" ht="19.899999999999999" customHeight="1">
      <c r="U319" s="165"/>
      <c r="V319" s="165"/>
      <c r="W319" s="165"/>
      <c r="X319" s="165"/>
      <c r="Y319" s="165"/>
      <c r="Z319" s="165"/>
      <c r="AA319" s="165"/>
      <c r="AB319" s="165"/>
      <c r="AC319" s="165"/>
      <c r="AD319" s="165"/>
      <c r="AE319" s="165"/>
      <c r="AF319" s="165"/>
      <c r="AG319" s="165"/>
    </row>
    <row r="320" spans="21:33" ht="19.899999999999999" customHeight="1">
      <c r="U320" s="165"/>
      <c r="V320" s="165"/>
      <c r="W320" s="165"/>
      <c r="X320" s="165"/>
      <c r="Y320" s="165"/>
      <c r="Z320" s="165"/>
      <c r="AA320" s="165"/>
      <c r="AB320" s="165"/>
      <c r="AC320" s="165"/>
      <c r="AD320" s="165"/>
      <c r="AE320" s="165"/>
      <c r="AF320" s="165"/>
      <c r="AG320" s="165"/>
    </row>
    <row r="321" spans="21:33" ht="19.899999999999999" customHeight="1">
      <c r="U321" s="165"/>
      <c r="V321" s="165"/>
      <c r="W321" s="165"/>
      <c r="X321" s="165"/>
      <c r="Y321" s="165"/>
      <c r="Z321" s="165"/>
      <c r="AA321" s="165"/>
      <c r="AB321" s="165"/>
      <c r="AC321" s="165"/>
      <c r="AD321" s="165"/>
      <c r="AE321" s="165"/>
      <c r="AF321" s="165"/>
      <c r="AG321" s="165"/>
    </row>
    <row r="322" spans="21:33" ht="19.899999999999999" customHeight="1">
      <c r="U322" s="165"/>
      <c r="V322" s="165"/>
      <c r="W322" s="165"/>
      <c r="X322" s="165"/>
      <c r="Y322" s="165"/>
      <c r="Z322" s="165"/>
      <c r="AA322" s="165"/>
      <c r="AB322" s="165"/>
      <c r="AC322" s="165"/>
      <c r="AD322" s="165"/>
      <c r="AE322" s="165"/>
      <c r="AF322" s="165"/>
      <c r="AG322" s="165"/>
    </row>
    <row r="323" spans="21:33" ht="19.899999999999999" customHeight="1">
      <c r="U323" s="165"/>
      <c r="V323" s="165"/>
      <c r="W323" s="165"/>
      <c r="X323" s="165"/>
      <c r="Y323" s="165"/>
      <c r="Z323" s="165"/>
      <c r="AA323" s="165"/>
      <c r="AB323" s="165"/>
      <c r="AC323" s="165"/>
      <c r="AD323" s="165"/>
      <c r="AE323" s="165"/>
      <c r="AF323" s="165"/>
      <c r="AG323" s="165"/>
    </row>
    <row r="324" spans="21:33" ht="19.899999999999999" customHeight="1">
      <c r="U324" s="165"/>
      <c r="V324" s="165"/>
      <c r="W324" s="165"/>
      <c r="X324" s="165"/>
      <c r="Y324" s="165"/>
      <c r="Z324" s="165"/>
      <c r="AA324" s="165"/>
      <c r="AB324" s="165"/>
      <c r="AC324" s="165"/>
      <c r="AD324" s="165"/>
      <c r="AE324" s="165"/>
      <c r="AF324" s="165"/>
      <c r="AG324" s="165"/>
    </row>
    <row r="325" spans="21:33" ht="19.899999999999999" customHeight="1">
      <c r="U325" s="165"/>
      <c r="V325" s="165"/>
      <c r="W325" s="165"/>
      <c r="X325" s="165"/>
      <c r="Y325" s="165"/>
      <c r="Z325" s="165"/>
      <c r="AA325" s="165"/>
      <c r="AB325" s="165"/>
      <c r="AC325" s="165"/>
      <c r="AD325" s="165"/>
      <c r="AE325" s="165"/>
      <c r="AF325" s="165"/>
      <c r="AG325" s="165"/>
    </row>
    <row r="326" spans="21:33" ht="19.899999999999999" customHeight="1">
      <c r="U326" s="165"/>
      <c r="V326" s="165"/>
      <c r="W326" s="165"/>
      <c r="X326" s="165"/>
      <c r="Y326" s="165"/>
      <c r="Z326" s="165"/>
      <c r="AA326" s="165"/>
      <c r="AB326" s="165"/>
      <c r="AC326" s="165"/>
      <c r="AD326" s="165"/>
      <c r="AE326" s="165"/>
      <c r="AF326" s="165"/>
      <c r="AG326" s="165"/>
    </row>
    <row r="327" spans="21:33" ht="19.899999999999999" customHeight="1">
      <c r="U327" s="165"/>
      <c r="V327" s="165"/>
      <c r="W327" s="165"/>
      <c r="X327" s="165"/>
      <c r="Y327" s="165"/>
      <c r="Z327" s="165"/>
      <c r="AA327" s="165"/>
      <c r="AB327" s="165"/>
      <c r="AC327" s="165"/>
      <c r="AD327" s="165"/>
      <c r="AE327" s="165"/>
      <c r="AF327" s="165"/>
      <c r="AG327" s="165"/>
    </row>
    <row r="328" spans="21:33" ht="19.899999999999999" customHeight="1">
      <c r="U328" s="165"/>
      <c r="V328" s="165"/>
      <c r="W328" s="165"/>
      <c r="X328" s="165"/>
      <c r="Y328" s="165"/>
      <c r="Z328" s="165"/>
      <c r="AA328" s="165"/>
      <c r="AB328" s="165"/>
      <c r="AC328" s="165"/>
      <c r="AD328" s="165"/>
      <c r="AE328" s="165"/>
      <c r="AF328" s="165"/>
      <c r="AG328" s="165"/>
    </row>
    <row r="329" spans="21:33" ht="19.899999999999999" customHeight="1">
      <c r="U329" s="165"/>
      <c r="V329" s="165"/>
      <c r="W329" s="165"/>
      <c r="X329" s="165"/>
      <c r="Y329" s="165"/>
      <c r="Z329" s="165"/>
      <c r="AA329" s="165"/>
      <c r="AB329" s="165"/>
      <c r="AC329" s="165"/>
      <c r="AD329" s="165"/>
      <c r="AE329" s="165"/>
      <c r="AF329" s="165"/>
      <c r="AG329" s="165"/>
    </row>
    <row r="330" spans="21:33" ht="19.899999999999999" customHeight="1">
      <c r="U330" s="165"/>
      <c r="V330" s="165"/>
      <c r="W330" s="165"/>
      <c r="X330" s="165"/>
      <c r="Y330" s="165"/>
      <c r="Z330" s="165"/>
      <c r="AA330" s="165"/>
      <c r="AB330" s="165"/>
      <c r="AC330" s="165"/>
      <c r="AD330" s="165"/>
      <c r="AE330" s="165"/>
      <c r="AF330" s="165"/>
      <c r="AG330" s="165"/>
    </row>
    <row r="331" spans="21:33" ht="19.899999999999999" customHeight="1">
      <c r="U331" s="165"/>
      <c r="V331" s="165"/>
      <c r="W331" s="165"/>
      <c r="X331" s="165"/>
      <c r="Y331" s="165"/>
      <c r="Z331" s="165"/>
      <c r="AA331" s="165"/>
      <c r="AB331" s="165"/>
      <c r="AC331" s="165"/>
      <c r="AD331" s="165"/>
      <c r="AE331" s="165"/>
      <c r="AF331" s="165"/>
      <c r="AG331" s="165"/>
    </row>
    <row r="332" spans="21:33" ht="19.899999999999999" customHeight="1">
      <c r="U332" s="165"/>
      <c r="V332" s="165"/>
      <c r="W332" s="165"/>
      <c r="X332" s="165"/>
      <c r="Y332" s="165"/>
      <c r="Z332" s="165"/>
      <c r="AA332" s="165"/>
      <c r="AB332" s="165"/>
      <c r="AC332" s="165"/>
      <c r="AD332" s="165"/>
      <c r="AE332" s="165"/>
      <c r="AF332" s="165"/>
      <c r="AG332" s="165"/>
    </row>
    <row r="333" spans="21:33" ht="19.899999999999999" customHeight="1">
      <c r="U333" s="165"/>
      <c r="V333" s="165"/>
      <c r="W333" s="165"/>
      <c r="X333" s="165"/>
      <c r="Y333" s="165"/>
      <c r="Z333" s="165"/>
      <c r="AA333" s="165"/>
      <c r="AB333" s="165"/>
      <c r="AC333" s="165"/>
      <c r="AD333" s="165"/>
      <c r="AE333" s="165"/>
      <c r="AF333" s="165"/>
      <c r="AG333" s="165"/>
    </row>
    <row r="334" spans="21:33" ht="19.899999999999999" customHeight="1">
      <c r="U334" s="165"/>
      <c r="V334" s="165"/>
      <c r="W334" s="165"/>
      <c r="X334" s="165"/>
      <c r="Y334" s="165"/>
      <c r="Z334" s="165"/>
      <c r="AA334" s="165"/>
      <c r="AB334" s="165"/>
      <c r="AC334" s="165"/>
      <c r="AD334" s="165"/>
      <c r="AE334" s="165"/>
      <c r="AF334" s="165"/>
      <c r="AG334" s="165"/>
    </row>
    <row r="335" spans="21:33" ht="19.899999999999999" customHeight="1">
      <c r="U335" s="165"/>
      <c r="V335" s="165"/>
      <c r="W335" s="165"/>
      <c r="X335" s="165"/>
      <c r="Y335" s="165"/>
      <c r="Z335" s="165"/>
      <c r="AA335" s="165"/>
      <c r="AB335" s="165"/>
      <c r="AC335" s="165"/>
      <c r="AD335" s="165"/>
      <c r="AE335" s="165"/>
      <c r="AF335" s="165"/>
      <c r="AG335" s="165"/>
    </row>
    <row r="336" spans="21:33" ht="19.899999999999999" customHeight="1">
      <c r="U336" s="165"/>
      <c r="V336" s="165"/>
      <c r="W336" s="165"/>
      <c r="X336" s="165"/>
      <c r="Y336" s="165"/>
      <c r="Z336" s="165"/>
      <c r="AA336" s="165"/>
      <c r="AB336" s="165"/>
      <c r="AC336" s="165"/>
      <c r="AD336" s="165"/>
      <c r="AE336" s="165"/>
      <c r="AF336" s="165"/>
      <c r="AG336" s="165"/>
    </row>
    <row r="337" spans="21:33" ht="19.899999999999999" customHeight="1">
      <c r="U337" s="165"/>
      <c r="V337" s="165"/>
      <c r="W337" s="165"/>
      <c r="X337" s="165"/>
      <c r="Y337" s="165"/>
      <c r="Z337" s="165"/>
      <c r="AA337" s="165"/>
      <c r="AB337" s="165"/>
      <c r="AC337" s="165"/>
      <c r="AD337" s="165"/>
      <c r="AE337" s="165"/>
      <c r="AF337" s="165"/>
      <c r="AG337" s="165"/>
    </row>
    <row r="338" spans="21:33" ht="19.899999999999999" customHeight="1">
      <c r="U338" s="165"/>
      <c r="V338" s="165"/>
      <c r="W338" s="165"/>
      <c r="X338" s="165"/>
      <c r="Y338" s="165"/>
      <c r="Z338" s="165"/>
      <c r="AA338" s="165"/>
      <c r="AB338" s="165"/>
      <c r="AC338" s="165"/>
      <c r="AD338" s="165"/>
      <c r="AE338" s="165"/>
      <c r="AF338" s="165"/>
      <c r="AG338" s="165"/>
    </row>
    <row r="339" spans="21:33" ht="19.899999999999999" customHeight="1">
      <c r="U339" s="165"/>
      <c r="V339" s="165"/>
      <c r="W339" s="165"/>
      <c r="X339" s="165"/>
      <c r="Y339" s="165"/>
      <c r="Z339" s="165"/>
      <c r="AA339" s="165"/>
      <c r="AB339" s="165"/>
      <c r="AC339" s="165"/>
      <c r="AD339" s="165"/>
      <c r="AE339" s="165"/>
      <c r="AF339" s="165"/>
      <c r="AG339" s="165"/>
    </row>
    <row r="340" spans="21:33" ht="19.899999999999999" customHeight="1">
      <c r="U340" s="165"/>
      <c r="V340" s="165"/>
      <c r="W340" s="165"/>
      <c r="X340" s="165"/>
      <c r="Y340" s="165"/>
      <c r="Z340" s="165"/>
      <c r="AA340" s="165"/>
      <c r="AB340" s="165"/>
      <c r="AC340" s="165"/>
      <c r="AD340" s="165"/>
      <c r="AE340" s="165"/>
      <c r="AF340" s="165"/>
      <c r="AG340" s="165"/>
    </row>
    <row r="341" spans="21:33" ht="19.899999999999999" customHeight="1">
      <c r="U341" s="165"/>
      <c r="V341" s="165"/>
      <c r="W341" s="165"/>
      <c r="X341" s="165"/>
      <c r="Y341" s="165"/>
      <c r="Z341" s="165"/>
      <c r="AA341" s="165"/>
      <c r="AB341" s="165"/>
      <c r="AC341" s="165"/>
      <c r="AD341" s="165"/>
      <c r="AE341" s="165"/>
      <c r="AF341" s="165"/>
      <c r="AG341" s="165"/>
    </row>
    <row r="342" spans="21:33" ht="19.899999999999999" customHeight="1">
      <c r="U342" s="165"/>
      <c r="V342" s="165"/>
      <c r="W342" s="165"/>
      <c r="X342" s="165"/>
      <c r="Y342" s="165"/>
      <c r="Z342" s="165"/>
      <c r="AA342" s="165"/>
      <c r="AB342" s="165"/>
      <c r="AC342" s="165"/>
      <c r="AD342" s="165"/>
      <c r="AE342" s="165"/>
      <c r="AF342" s="165"/>
      <c r="AG342" s="165"/>
    </row>
    <row r="343" spans="21:33" ht="19.899999999999999" customHeight="1">
      <c r="U343" s="165"/>
      <c r="V343" s="165"/>
      <c r="W343" s="165"/>
      <c r="X343" s="165"/>
      <c r="Y343" s="165"/>
      <c r="Z343" s="165"/>
      <c r="AA343" s="165"/>
      <c r="AB343" s="165"/>
      <c r="AC343" s="165"/>
      <c r="AD343" s="165"/>
      <c r="AE343" s="165"/>
      <c r="AF343" s="165"/>
      <c r="AG343" s="165"/>
    </row>
    <row r="344" spans="21:33" ht="19.899999999999999" customHeight="1">
      <c r="U344" s="165"/>
      <c r="V344" s="165"/>
      <c r="W344" s="165"/>
      <c r="X344" s="165"/>
      <c r="Y344" s="165"/>
      <c r="Z344" s="165"/>
      <c r="AA344" s="165"/>
      <c r="AB344" s="165"/>
      <c r="AC344" s="165"/>
      <c r="AD344" s="165"/>
      <c r="AE344" s="165"/>
      <c r="AF344" s="165"/>
      <c r="AG344" s="165"/>
    </row>
    <row r="345" spans="21:33" ht="19.899999999999999" customHeight="1">
      <c r="U345" s="165"/>
      <c r="V345" s="165"/>
      <c r="W345" s="165"/>
      <c r="X345" s="165"/>
      <c r="Y345" s="165"/>
      <c r="Z345" s="165"/>
      <c r="AA345" s="165"/>
      <c r="AB345" s="165"/>
      <c r="AC345" s="165"/>
      <c r="AD345" s="165"/>
      <c r="AE345" s="165"/>
      <c r="AF345" s="165"/>
      <c r="AG345" s="165"/>
    </row>
    <row r="346" spans="21:33" ht="19.899999999999999" customHeight="1">
      <c r="U346" s="165"/>
      <c r="V346" s="165"/>
      <c r="W346" s="165"/>
      <c r="X346" s="165"/>
      <c r="Y346" s="165"/>
      <c r="Z346" s="165"/>
      <c r="AA346" s="165"/>
      <c r="AB346" s="165"/>
      <c r="AC346" s="165"/>
      <c r="AD346" s="165"/>
      <c r="AE346" s="165"/>
      <c r="AF346" s="165"/>
      <c r="AG346" s="165"/>
    </row>
    <row r="347" spans="21:33" ht="19.899999999999999" customHeight="1">
      <c r="U347" s="165"/>
      <c r="V347" s="165"/>
      <c r="W347" s="165"/>
      <c r="X347" s="165"/>
      <c r="Y347" s="165"/>
      <c r="Z347" s="165"/>
      <c r="AA347" s="165"/>
      <c r="AB347" s="165"/>
      <c r="AC347" s="165"/>
      <c r="AD347" s="165"/>
      <c r="AE347" s="165"/>
      <c r="AF347" s="165"/>
      <c r="AG347" s="165"/>
    </row>
    <row r="348" spans="21:33" ht="19.899999999999999" customHeight="1">
      <c r="U348" s="165"/>
      <c r="V348" s="165"/>
      <c r="W348" s="165"/>
      <c r="X348" s="165"/>
      <c r="Y348" s="165"/>
      <c r="Z348" s="165"/>
      <c r="AA348" s="165"/>
      <c r="AB348" s="165"/>
      <c r="AC348" s="165"/>
      <c r="AD348" s="165"/>
      <c r="AE348" s="165"/>
      <c r="AF348" s="165"/>
      <c r="AG348" s="165"/>
    </row>
    <row r="349" spans="21:33" ht="19.899999999999999" customHeight="1">
      <c r="U349" s="165"/>
      <c r="V349" s="165"/>
      <c r="W349" s="165"/>
      <c r="X349" s="165"/>
      <c r="Y349" s="165"/>
      <c r="Z349" s="165"/>
      <c r="AA349" s="165"/>
      <c r="AB349" s="165"/>
      <c r="AC349" s="165"/>
      <c r="AD349" s="165"/>
      <c r="AE349" s="165"/>
      <c r="AF349" s="165"/>
      <c r="AG349" s="165"/>
    </row>
    <row r="350" spans="21:33" ht="19.899999999999999" customHeight="1">
      <c r="U350" s="165"/>
      <c r="V350" s="165"/>
      <c r="W350" s="165"/>
      <c r="X350" s="165"/>
      <c r="Y350" s="165"/>
      <c r="Z350" s="165"/>
      <c r="AA350" s="165"/>
      <c r="AB350" s="165"/>
      <c r="AC350" s="165"/>
      <c r="AD350" s="165"/>
      <c r="AE350" s="165"/>
      <c r="AF350" s="165"/>
      <c r="AG350" s="165"/>
    </row>
    <row r="351" spans="21:33" ht="19.899999999999999" customHeight="1">
      <c r="U351" s="165"/>
      <c r="V351" s="165"/>
      <c r="W351" s="165"/>
      <c r="X351" s="165"/>
      <c r="Y351" s="165"/>
      <c r="Z351" s="165"/>
      <c r="AA351" s="165"/>
      <c r="AB351" s="165"/>
      <c r="AC351" s="165"/>
      <c r="AD351" s="165"/>
      <c r="AE351" s="165"/>
      <c r="AF351" s="165"/>
      <c r="AG351" s="165"/>
    </row>
    <row r="352" spans="21:33" ht="19.899999999999999" customHeight="1">
      <c r="U352" s="165"/>
      <c r="V352" s="165"/>
      <c r="W352" s="165"/>
      <c r="X352" s="165"/>
      <c r="Y352" s="165"/>
      <c r="Z352" s="165"/>
      <c r="AA352" s="165"/>
      <c r="AB352" s="165"/>
      <c r="AC352" s="165"/>
      <c r="AD352" s="165"/>
      <c r="AE352" s="165"/>
      <c r="AF352" s="165"/>
      <c r="AG352" s="165"/>
    </row>
    <row r="353" spans="21:33" ht="19.899999999999999" customHeight="1">
      <c r="U353" s="165"/>
      <c r="V353" s="165"/>
      <c r="W353" s="165"/>
      <c r="X353" s="165"/>
      <c r="Y353" s="165"/>
      <c r="Z353" s="165"/>
      <c r="AA353" s="165"/>
      <c r="AB353" s="165"/>
      <c r="AC353" s="165"/>
      <c r="AD353" s="165"/>
      <c r="AE353" s="165"/>
      <c r="AF353" s="165"/>
      <c r="AG353" s="165"/>
    </row>
    <row r="354" spans="21:33" ht="19.899999999999999" customHeight="1">
      <c r="U354" s="165"/>
      <c r="V354" s="165"/>
      <c r="W354" s="165"/>
      <c r="X354" s="165"/>
      <c r="Y354" s="165"/>
      <c r="Z354" s="165"/>
      <c r="AA354" s="165"/>
      <c r="AB354" s="165"/>
      <c r="AC354" s="165"/>
      <c r="AD354" s="165"/>
      <c r="AE354" s="165"/>
      <c r="AF354" s="165"/>
      <c r="AG354" s="165"/>
    </row>
    <row r="355" spans="21:33" ht="19.899999999999999" customHeight="1">
      <c r="U355" s="165"/>
      <c r="V355" s="165"/>
      <c r="W355" s="165"/>
      <c r="X355" s="165"/>
      <c r="Y355" s="165"/>
      <c r="Z355" s="165"/>
      <c r="AA355" s="165"/>
      <c r="AB355" s="165"/>
      <c r="AC355" s="165"/>
      <c r="AD355" s="165"/>
      <c r="AE355" s="165"/>
      <c r="AF355" s="165"/>
      <c r="AG355" s="165"/>
    </row>
    <row r="356" spans="21:33" ht="19.899999999999999" customHeight="1">
      <c r="U356" s="165"/>
      <c r="V356" s="165"/>
      <c r="W356" s="165"/>
      <c r="X356" s="165"/>
      <c r="Y356" s="165"/>
      <c r="Z356" s="165"/>
      <c r="AA356" s="165"/>
      <c r="AB356" s="165"/>
      <c r="AC356" s="165"/>
      <c r="AD356" s="165"/>
      <c r="AE356" s="165"/>
      <c r="AF356" s="165"/>
      <c r="AG356" s="165"/>
    </row>
    <row r="357" spans="21:33" ht="19.899999999999999" customHeight="1">
      <c r="U357" s="165"/>
      <c r="V357" s="165"/>
      <c r="W357" s="165"/>
      <c r="X357" s="165"/>
      <c r="Y357" s="165"/>
      <c r="Z357" s="165"/>
      <c r="AA357" s="165"/>
      <c r="AB357" s="165"/>
      <c r="AC357" s="165"/>
      <c r="AD357" s="165"/>
      <c r="AE357" s="165"/>
      <c r="AF357" s="165"/>
      <c r="AG357" s="165"/>
    </row>
    <row r="358" spans="21:33" ht="19.899999999999999" customHeight="1">
      <c r="U358" s="165"/>
      <c r="V358" s="165"/>
      <c r="W358" s="165"/>
      <c r="X358" s="165"/>
      <c r="Y358" s="165"/>
      <c r="Z358" s="165"/>
      <c r="AA358" s="165"/>
      <c r="AB358" s="165"/>
      <c r="AC358" s="165"/>
      <c r="AD358" s="165"/>
      <c r="AE358" s="165"/>
      <c r="AF358" s="165"/>
      <c r="AG358" s="165"/>
    </row>
    <row r="359" spans="21:33" ht="19.899999999999999" customHeight="1">
      <c r="U359" s="165"/>
      <c r="V359" s="165"/>
      <c r="W359" s="165"/>
      <c r="X359" s="165"/>
      <c r="Y359" s="165"/>
      <c r="Z359" s="165"/>
      <c r="AA359" s="165"/>
      <c r="AB359" s="165"/>
      <c r="AC359" s="165"/>
      <c r="AD359" s="165"/>
      <c r="AE359" s="165"/>
      <c r="AF359" s="165"/>
      <c r="AG359" s="165"/>
    </row>
    <row r="360" spans="21:33" ht="19.899999999999999" customHeight="1">
      <c r="U360" s="165"/>
      <c r="V360" s="165"/>
      <c r="W360" s="165"/>
      <c r="X360" s="165"/>
      <c r="Y360" s="165"/>
      <c r="Z360" s="165"/>
      <c r="AA360" s="165"/>
      <c r="AB360" s="165"/>
      <c r="AC360" s="165"/>
      <c r="AD360" s="165"/>
      <c r="AE360" s="165"/>
      <c r="AF360" s="165"/>
      <c r="AG360" s="165"/>
    </row>
    <row r="361" spans="21:33" ht="19.899999999999999" customHeight="1">
      <c r="U361" s="165"/>
      <c r="V361" s="165"/>
      <c r="W361" s="165"/>
      <c r="X361" s="165"/>
      <c r="Y361" s="165"/>
      <c r="Z361" s="165"/>
      <c r="AA361" s="165"/>
      <c r="AB361" s="165"/>
      <c r="AC361" s="165"/>
      <c r="AD361" s="165"/>
      <c r="AE361" s="165"/>
      <c r="AF361" s="165"/>
      <c r="AG361" s="165"/>
    </row>
    <row r="362" spans="21:33" ht="19.899999999999999" customHeight="1">
      <c r="U362" s="165"/>
      <c r="V362" s="165"/>
      <c r="W362" s="165"/>
      <c r="X362" s="165"/>
      <c r="Y362" s="165"/>
      <c r="Z362" s="165"/>
      <c r="AA362" s="165"/>
      <c r="AB362" s="165"/>
      <c r="AC362" s="165"/>
      <c r="AD362" s="165"/>
      <c r="AE362" s="165"/>
      <c r="AF362" s="165"/>
      <c r="AG362" s="165"/>
    </row>
    <row r="363" spans="21:33" ht="19.899999999999999" customHeight="1">
      <c r="U363" s="165"/>
      <c r="V363" s="165"/>
      <c r="W363" s="165"/>
      <c r="X363" s="165"/>
      <c r="Y363" s="165"/>
      <c r="Z363" s="165"/>
      <c r="AA363" s="165"/>
      <c r="AB363" s="165"/>
      <c r="AC363" s="165"/>
      <c r="AD363" s="165"/>
      <c r="AE363" s="165"/>
      <c r="AF363" s="165"/>
      <c r="AG363" s="165"/>
    </row>
    <row r="364" spans="21:33" ht="19.899999999999999" customHeight="1">
      <c r="U364" s="165"/>
      <c r="V364" s="165"/>
      <c r="W364" s="165"/>
      <c r="X364" s="165"/>
      <c r="Y364" s="165"/>
      <c r="Z364" s="165"/>
      <c r="AA364" s="165"/>
      <c r="AB364" s="165"/>
      <c r="AC364" s="165"/>
      <c r="AD364" s="165"/>
      <c r="AE364" s="165"/>
      <c r="AF364" s="165"/>
      <c r="AG364" s="165"/>
    </row>
    <row r="365" spans="21:33" ht="19.899999999999999" customHeight="1">
      <c r="U365" s="165"/>
      <c r="V365" s="165"/>
      <c r="W365" s="165"/>
      <c r="X365" s="165"/>
      <c r="Y365" s="165"/>
      <c r="Z365" s="165"/>
      <c r="AA365" s="165"/>
      <c r="AB365" s="165"/>
      <c r="AC365" s="165"/>
      <c r="AD365" s="165"/>
      <c r="AE365" s="165"/>
      <c r="AF365" s="165"/>
      <c r="AG365" s="165"/>
    </row>
    <row r="366" spans="21:33" ht="19.899999999999999" customHeight="1">
      <c r="U366" s="165"/>
      <c r="V366" s="165"/>
      <c r="W366" s="165"/>
      <c r="X366" s="165"/>
      <c r="Y366" s="165"/>
      <c r="Z366" s="165"/>
      <c r="AA366" s="165"/>
      <c r="AB366" s="165"/>
      <c r="AC366" s="165"/>
      <c r="AD366" s="165"/>
      <c r="AE366" s="165"/>
      <c r="AF366" s="165"/>
      <c r="AG366" s="165"/>
    </row>
    <row r="367" spans="21:33" ht="19.899999999999999" customHeight="1">
      <c r="U367" s="165"/>
      <c r="V367" s="165"/>
      <c r="W367" s="165"/>
      <c r="X367" s="165"/>
      <c r="Y367" s="165"/>
      <c r="Z367" s="165"/>
      <c r="AA367" s="165"/>
      <c r="AB367" s="165"/>
      <c r="AC367" s="165"/>
      <c r="AD367" s="165"/>
      <c r="AE367" s="165"/>
      <c r="AF367" s="165"/>
      <c r="AG367" s="165"/>
    </row>
    <row r="368" spans="21:33" ht="19.899999999999999" customHeight="1">
      <c r="U368" s="165"/>
      <c r="V368" s="165"/>
      <c r="W368" s="165"/>
      <c r="X368" s="165"/>
      <c r="Y368" s="165"/>
      <c r="Z368" s="165"/>
      <c r="AA368" s="165"/>
      <c r="AB368" s="165"/>
      <c r="AC368" s="165"/>
      <c r="AD368" s="165"/>
      <c r="AE368" s="165"/>
      <c r="AF368" s="165"/>
      <c r="AG368" s="165"/>
    </row>
    <row r="369" spans="21:33" ht="19.899999999999999" customHeight="1">
      <c r="U369" s="165"/>
      <c r="V369" s="165"/>
      <c r="W369" s="165"/>
      <c r="X369" s="165"/>
      <c r="Y369" s="165"/>
      <c r="Z369" s="165"/>
      <c r="AA369" s="165"/>
      <c r="AB369" s="165"/>
      <c r="AC369" s="165"/>
      <c r="AD369" s="165"/>
      <c r="AE369" s="165"/>
      <c r="AF369" s="165"/>
      <c r="AG369" s="165"/>
    </row>
    <row r="370" spans="21:33" ht="19.899999999999999" customHeight="1">
      <c r="U370" s="165"/>
      <c r="V370" s="165"/>
      <c r="W370" s="165"/>
      <c r="X370" s="165"/>
      <c r="Y370" s="165"/>
      <c r="Z370" s="165"/>
      <c r="AA370" s="165"/>
      <c r="AB370" s="165"/>
      <c r="AC370" s="165"/>
      <c r="AD370" s="165"/>
      <c r="AE370" s="165"/>
      <c r="AF370" s="165"/>
      <c r="AG370" s="165"/>
    </row>
    <row r="371" spans="21:33" ht="19.899999999999999" customHeight="1">
      <c r="U371" s="165"/>
      <c r="V371" s="165"/>
      <c r="W371" s="165"/>
      <c r="X371" s="165"/>
      <c r="Y371" s="165"/>
      <c r="Z371" s="165"/>
      <c r="AA371" s="165"/>
      <c r="AB371" s="165"/>
      <c r="AC371" s="165"/>
      <c r="AD371" s="165"/>
      <c r="AE371" s="165"/>
      <c r="AF371" s="165"/>
      <c r="AG371" s="165"/>
    </row>
    <row r="372" spans="21:33" ht="19.899999999999999" customHeight="1">
      <c r="U372" s="165"/>
      <c r="V372" s="165"/>
      <c r="W372" s="165"/>
      <c r="X372" s="165"/>
      <c r="Y372" s="165"/>
      <c r="Z372" s="165"/>
      <c r="AA372" s="165"/>
      <c r="AB372" s="165"/>
      <c r="AC372" s="165"/>
      <c r="AD372" s="165"/>
      <c r="AE372" s="165"/>
      <c r="AF372" s="165"/>
      <c r="AG372" s="165"/>
    </row>
    <row r="373" spans="21:33" ht="19.899999999999999" customHeight="1">
      <c r="U373" s="165"/>
      <c r="V373" s="165"/>
      <c r="W373" s="165"/>
      <c r="X373" s="165"/>
      <c r="Y373" s="165"/>
      <c r="Z373" s="165"/>
      <c r="AA373" s="165"/>
      <c r="AB373" s="165"/>
      <c r="AC373" s="165"/>
      <c r="AD373" s="165"/>
      <c r="AE373" s="165"/>
      <c r="AF373" s="165"/>
      <c r="AG373" s="165"/>
    </row>
    <row r="374" spans="21:33" ht="19.899999999999999" customHeight="1">
      <c r="U374" s="165"/>
      <c r="V374" s="165"/>
      <c r="W374" s="165"/>
      <c r="X374" s="165"/>
      <c r="Y374" s="165"/>
      <c r="Z374" s="165"/>
      <c r="AA374" s="165"/>
      <c r="AB374" s="165"/>
      <c r="AC374" s="165"/>
      <c r="AD374" s="165"/>
      <c r="AE374" s="165"/>
      <c r="AF374" s="165"/>
      <c r="AG374" s="165"/>
    </row>
    <row r="375" spans="21:33" ht="19.899999999999999" customHeight="1">
      <c r="U375" s="165"/>
      <c r="V375" s="165"/>
      <c r="W375" s="165"/>
      <c r="X375" s="165"/>
      <c r="Y375" s="165"/>
      <c r="Z375" s="165"/>
      <c r="AA375" s="165"/>
      <c r="AB375" s="165"/>
      <c r="AC375" s="165"/>
      <c r="AD375" s="165"/>
      <c r="AE375" s="165"/>
      <c r="AF375" s="165"/>
      <c r="AG375" s="165"/>
    </row>
    <row r="376" spans="21:33" ht="19.899999999999999" customHeight="1">
      <c r="U376" s="165"/>
      <c r="V376" s="165"/>
      <c r="W376" s="165"/>
      <c r="X376" s="165"/>
      <c r="Y376" s="165"/>
      <c r="Z376" s="165"/>
      <c r="AA376" s="165"/>
      <c r="AB376" s="165"/>
      <c r="AC376" s="165"/>
      <c r="AD376" s="165"/>
      <c r="AE376" s="165"/>
      <c r="AF376" s="165"/>
      <c r="AG376" s="165"/>
    </row>
    <row r="377" spans="21:33" ht="19.899999999999999" customHeight="1">
      <c r="U377" s="165"/>
      <c r="V377" s="165"/>
      <c r="W377" s="165"/>
      <c r="X377" s="165"/>
      <c r="Y377" s="165"/>
      <c r="Z377" s="165"/>
      <c r="AA377" s="165"/>
      <c r="AB377" s="165"/>
      <c r="AC377" s="165"/>
      <c r="AD377" s="165"/>
      <c r="AE377" s="165"/>
      <c r="AF377" s="165"/>
      <c r="AG377" s="165"/>
    </row>
    <row r="378" spans="21:33" ht="19.899999999999999" customHeight="1">
      <c r="U378" s="165"/>
      <c r="V378" s="165"/>
      <c r="W378" s="165"/>
      <c r="X378" s="165"/>
      <c r="Y378" s="165"/>
      <c r="Z378" s="165"/>
      <c r="AA378" s="165"/>
      <c r="AB378" s="165"/>
      <c r="AC378" s="165"/>
      <c r="AD378" s="165"/>
      <c r="AE378" s="165"/>
      <c r="AF378" s="165"/>
      <c r="AG378" s="165"/>
    </row>
    <row r="379" spans="21:33" ht="19.899999999999999" customHeight="1">
      <c r="U379" s="165"/>
      <c r="V379" s="165"/>
      <c r="W379" s="165"/>
      <c r="X379" s="165"/>
      <c r="Y379" s="165"/>
      <c r="Z379" s="165"/>
      <c r="AA379" s="165"/>
      <c r="AB379" s="165"/>
      <c r="AC379" s="165"/>
      <c r="AD379" s="165"/>
      <c r="AE379" s="165"/>
      <c r="AF379" s="165"/>
      <c r="AG379" s="165"/>
    </row>
    <row r="380" spans="21:33" ht="19.899999999999999" customHeight="1">
      <c r="U380" s="165"/>
      <c r="V380" s="165"/>
      <c r="W380" s="165"/>
      <c r="X380" s="165"/>
      <c r="Y380" s="165"/>
      <c r="Z380" s="165"/>
      <c r="AA380" s="165"/>
      <c r="AB380" s="165"/>
      <c r="AC380" s="165"/>
      <c r="AD380" s="165"/>
      <c r="AE380" s="165"/>
      <c r="AF380" s="165"/>
      <c r="AG380" s="165"/>
    </row>
    <row r="381" spans="21:33" ht="19.899999999999999" customHeight="1">
      <c r="U381" s="165"/>
      <c r="V381" s="165"/>
      <c r="W381" s="165"/>
      <c r="X381" s="165"/>
      <c r="Y381" s="165"/>
      <c r="Z381" s="165"/>
      <c r="AA381" s="165"/>
      <c r="AB381" s="165"/>
      <c r="AC381" s="165"/>
      <c r="AD381" s="165"/>
      <c r="AE381" s="165"/>
      <c r="AF381" s="165"/>
      <c r="AG381" s="165"/>
    </row>
    <row r="382" spans="21:33" ht="19.899999999999999" customHeight="1">
      <c r="U382" s="165"/>
      <c r="V382" s="165"/>
      <c r="W382" s="165"/>
      <c r="X382" s="165"/>
      <c r="Y382" s="165"/>
      <c r="Z382" s="165"/>
      <c r="AA382" s="165"/>
      <c r="AB382" s="165"/>
      <c r="AC382" s="165"/>
      <c r="AD382" s="165"/>
      <c r="AE382" s="165"/>
      <c r="AF382" s="165"/>
      <c r="AG382" s="165"/>
    </row>
    <row r="383" spans="21:33" ht="19.899999999999999" customHeight="1">
      <c r="U383" s="165"/>
      <c r="V383" s="165"/>
      <c r="W383" s="165"/>
      <c r="X383" s="165"/>
      <c r="Y383" s="165"/>
      <c r="Z383" s="165"/>
      <c r="AA383" s="165"/>
      <c r="AB383" s="165"/>
      <c r="AC383" s="165"/>
      <c r="AD383" s="165"/>
      <c r="AE383" s="165"/>
      <c r="AF383" s="165"/>
      <c r="AG383" s="165"/>
    </row>
    <row r="384" spans="21:33" ht="19.899999999999999" customHeight="1">
      <c r="U384" s="165"/>
      <c r="V384" s="165"/>
      <c r="W384" s="165"/>
      <c r="X384" s="165"/>
      <c r="Y384" s="165"/>
      <c r="Z384" s="165"/>
      <c r="AA384" s="165"/>
      <c r="AB384" s="165"/>
      <c r="AC384" s="165"/>
      <c r="AD384" s="165"/>
      <c r="AE384" s="165"/>
      <c r="AF384" s="165"/>
      <c r="AG384" s="165"/>
    </row>
    <row r="385" spans="21:33" ht="19.899999999999999" customHeight="1">
      <c r="U385" s="165"/>
      <c r="V385" s="165"/>
      <c r="W385" s="165"/>
      <c r="X385" s="165"/>
      <c r="Y385" s="165"/>
      <c r="Z385" s="165"/>
      <c r="AA385" s="165"/>
      <c r="AB385" s="165"/>
      <c r="AC385" s="165"/>
      <c r="AD385" s="165"/>
      <c r="AE385" s="165"/>
      <c r="AF385" s="165"/>
      <c r="AG385" s="165"/>
    </row>
    <row r="386" spans="21:33" ht="19.899999999999999" customHeight="1">
      <c r="U386" s="165"/>
      <c r="V386" s="165"/>
      <c r="W386" s="165"/>
      <c r="X386" s="165"/>
      <c r="Y386" s="165"/>
      <c r="Z386" s="165"/>
      <c r="AA386" s="165"/>
      <c r="AB386" s="165"/>
      <c r="AC386" s="165"/>
      <c r="AD386" s="165"/>
      <c r="AE386" s="165"/>
      <c r="AF386" s="165"/>
      <c r="AG386" s="165"/>
    </row>
    <row r="387" spans="21:33" ht="19.899999999999999" customHeight="1">
      <c r="U387" s="165"/>
      <c r="V387" s="165"/>
      <c r="W387" s="165"/>
      <c r="X387" s="165"/>
      <c r="Y387" s="165"/>
      <c r="Z387" s="165"/>
      <c r="AA387" s="165"/>
      <c r="AB387" s="165"/>
      <c r="AC387" s="165"/>
      <c r="AD387" s="165"/>
      <c r="AE387" s="165"/>
      <c r="AF387" s="165"/>
      <c r="AG387" s="165"/>
    </row>
    <row r="388" spans="21:33" ht="19.899999999999999" customHeight="1">
      <c r="U388" s="165"/>
      <c r="V388" s="165"/>
      <c r="W388" s="165"/>
      <c r="X388" s="165"/>
      <c r="Y388" s="165"/>
      <c r="Z388" s="165"/>
      <c r="AA388" s="165"/>
      <c r="AB388" s="165"/>
      <c r="AC388" s="165"/>
      <c r="AD388" s="165"/>
      <c r="AE388" s="165"/>
      <c r="AF388" s="165"/>
      <c r="AG388" s="165"/>
    </row>
    <row r="389" spans="21:33" ht="19.899999999999999" customHeight="1">
      <c r="U389" s="165"/>
      <c r="V389" s="165"/>
      <c r="W389" s="165"/>
      <c r="X389" s="165"/>
      <c r="Y389" s="165"/>
      <c r="Z389" s="165"/>
      <c r="AA389" s="165"/>
      <c r="AB389" s="165"/>
      <c r="AC389" s="165"/>
      <c r="AD389" s="165"/>
      <c r="AE389" s="165"/>
      <c r="AF389" s="165"/>
      <c r="AG389" s="165"/>
    </row>
    <row r="390" spans="21:33" ht="19.899999999999999" customHeight="1">
      <c r="U390" s="165"/>
      <c r="V390" s="165"/>
      <c r="W390" s="165"/>
      <c r="X390" s="165"/>
      <c r="Y390" s="165"/>
      <c r="Z390" s="165"/>
      <c r="AA390" s="165"/>
      <c r="AB390" s="165"/>
      <c r="AC390" s="165"/>
      <c r="AD390" s="165"/>
      <c r="AE390" s="165"/>
      <c r="AF390" s="165"/>
      <c r="AG390" s="165"/>
    </row>
    <row r="391" spans="21:33" ht="19.899999999999999" customHeight="1">
      <c r="U391" s="165"/>
      <c r="V391" s="165"/>
      <c r="W391" s="165"/>
      <c r="X391" s="165"/>
      <c r="Y391" s="165"/>
      <c r="Z391" s="165"/>
      <c r="AA391" s="165"/>
      <c r="AB391" s="165"/>
      <c r="AC391" s="165"/>
      <c r="AD391" s="165"/>
      <c r="AE391" s="165"/>
      <c r="AF391" s="165"/>
      <c r="AG391" s="165"/>
    </row>
    <row r="392" spans="21:33" ht="19.899999999999999" customHeight="1">
      <c r="U392" s="165"/>
      <c r="V392" s="165"/>
      <c r="W392" s="165"/>
      <c r="X392" s="165"/>
      <c r="Y392" s="165"/>
      <c r="Z392" s="165"/>
      <c r="AA392" s="165"/>
      <c r="AB392" s="165"/>
      <c r="AC392" s="165"/>
      <c r="AD392" s="165"/>
      <c r="AE392" s="165"/>
      <c r="AF392" s="165"/>
      <c r="AG392" s="165"/>
    </row>
    <row r="393" spans="21:33" ht="19.899999999999999" customHeight="1">
      <c r="U393" s="165"/>
      <c r="V393" s="165"/>
      <c r="W393" s="165"/>
      <c r="X393" s="165"/>
      <c r="Y393" s="165"/>
      <c r="Z393" s="165"/>
      <c r="AA393" s="165"/>
      <c r="AB393" s="165"/>
      <c r="AC393" s="165"/>
      <c r="AD393" s="165"/>
      <c r="AE393" s="165"/>
      <c r="AF393" s="165"/>
      <c r="AG393" s="165"/>
    </row>
    <row r="394" spans="21:33" ht="19.899999999999999" customHeight="1">
      <c r="U394" s="165"/>
      <c r="V394" s="165"/>
      <c r="W394" s="165"/>
      <c r="X394" s="165"/>
      <c r="Y394" s="165"/>
      <c r="Z394" s="165"/>
      <c r="AA394" s="165"/>
      <c r="AB394" s="165"/>
      <c r="AC394" s="165"/>
      <c r="AD394" s="165"/>
      <c r="AE394" s="165"/>
      <c r="AF394" s="165"/>
      <c r="AG394" s="165"/>
    </row>
    <row r="395" spans="21:33" ht="19.899999999999999" customHeight="1">
      <c r="U395" s="165"/>
      <c r="V395" s="165"/>
      <c r="W395" s="165"/>
      <c r="X395" s="165"/>
      <c r="Y395" s="165"/>
      <c r="Z395" s="165"/>
      <c r="AA395" s="165"/>
      <c r="AB395" s="165"/>
      <c r="AC395" s="165"/>
      <c r="AD395" s="165"/>
      <c r="AE395" s="165"/>
      <c r="AF395" s="165"/>
      <c r="AG395" s="165"/>
    </row>
    <row r="396" spans="21:33" ht="19.899999999999999" customHeight="1">
      <c r="U396" s="165"/>
      <c r="V396" s="165"/>
      <c r="W396" s="165"/>
      <c r="X396" s="165"/>
      <c r="Y396" s="165"/>
      <c r="Z396" s="165"/>
      <c r="AA396" s="165"/>
      <c r="AB396" s="165"/>
      <c r="AC396" s="165"/>
      <c r="AD396" s="165"/>
      <c r="AE396" s="165"/>
      <c r="AF396" s="165"/>
      <c r="AG396" s="165"/>
    </row>
    <row r="397" spans="21:33" ht="19.899999999999999" customHeight="1">
      <c r="U397" s="165"/>
      <c r="V397" s="165"/>
      <c r="W397" s="165"/>
      <c r="X397" s="165"/>
      <c r="Y397" s="165"/>
      <c r="Z397" s="165"/>
      <c r="AA397" s="165"/>
      <c r="AB397" s="165"/>
      <c r="AC397" s="165"/>
      <c r="AD397" s="165"/>
      <c r="AE397" s="165"/>
      <c r="AF397" s="165"/>
      <c r="AG397" s="165"/>
    </row>
    <row r="398" spans="21:33" ht="19.899999999999999" customHeight="1">
      <c r="U398" s="165"/>
      <c r="V398" s="165"/>
      <c r="W398" s="165"/>
      <c r="X398" s="165"/>
      <c r="Y398" s="165"/>
      <c r="Z398" s="165"/>
      <c r="AA398" s="165"/>
      <c r="AB398" s="165"/>
      <c r="AC398" s="165"/>
      <c r="AD398" s="165"/>
      <c r="AE398" s="165"/>
      <c r="AF398" s="165"/>
      <c r="AG398" s="165"/>
    </row>
    <row r="399" spans="21:33" ht="19.899999999999999" customHeight="1">
      <c r="U399" s="165"/>
      <c r="V399" s="165"/>
      <c r="W399" s="165"/>
      <c r="X399" s="165"/>
      <c r="Y399" s="165"/>
      <c r="Z399" s="165"/>
      <c r="AA399" s="165"/>
      <c r="AB399" s="165"/>
      <c r="AC399" s="165"/>
      <c r="AD399" s="165"/>
      <c r="AE399" s="165"/>
      <c r="AF399" s="165"/>
      <c r="AG399" s="165"/>
    </row>
    <row r="400" spans="21:33" ht="19.899999999999999" customHeight="1">
      <c r="U400" s="165"/>
      <c r="V400" s="165"/>
      <c r="W400" s="165"/>
      <c r="X400" s="165"/>
      <c r="Y400" s="165"/>
      <c r="Z400" s="165"/>
      <c r="AA400" s="165"/>
      <c r="AB400" s="165"/>
      <c r="AC400" s="165"/>
      <c r="AD400" s="165"/>
      <c r="AE400" s="165"/>
      <c r="AF400" s="165"/>
      <c r="AG400" s="165"/>
    </row>
    <row r="401" spans="21:33" ht="19.899999999999999" customHeight="1">
      <c r="U401" s="165"/>
      <c r="V401" s="165"/>
      <c r="W401" s="165"/>
      <c r="X401" s="165"/>
      <c r="Y401" s="165"/>
      <c r="Z401" s="165"/>
      <c r="AA401" s="165"/>
      <c r="AB401" s="165"/>
      <c r="AC401" s="165"/>
      <c r="AD401" s="165"/>
      <c r="AE401" s="165"/>
      <c r="AF401" s="165"/>
      <c r="AG401" s="165"/>
    </row>
    <row r="402" spans="21:33" ht="19.899999999999999" customHeight="1">
      <c r="U402" s="165"/>
      <c r="V402" s="165"/>
      <c r="W402" s="165"/>
      <c r="X402" s="165"/>
      <c r="Y402" s="165"/>
      <c r="Z402" s="165"/>
      <c r="AA402" s="165"/>
      <c r="AB402" s="165"/>
      <c r="AC402" s="165"/>
      <c r="AD402" s="165"/>
      <c r="AE402" s="165"/>
      <c r="AF402" s="165"/>
      <c r="AG402" s="165"/>
    </row>
    <row r="403" spans="21:33" ht="19.899999999999999" customHeight="1">
      <c r="U403" s="165"/>
      <c r="V403" s="165"/>
      <c r="W403" s="165"/>
      <c r="X403" s="165"/>
      <c r="Y403" s="165"/>
      <c r="Z403" s="165"/>
      <c r="AA403" s="165"/>
      <c r="AB403" s="165"/>
      <c r="AC403" s="165"/>
      <c r="AD403" s="165"/>
      <c r="AE403" s="165"/>
      <c r="AF403" s="165"/>
      <c r="AG403" s="165"/>
    </row>
    <row r="404" spans="21:33" ht="19.899999999999999" customHeight="1">
      <c r="U404" s="165"/>
      <c r="V404" s="165"/>
      <c r="W404" s="165"/>
      <c r="X404" s="165"/>
      <c r="Y404" s="165"/>
      <c r="Z404" s="165"/>
      <c r="AA404" s="165"/>
      <c r="AB404" s="165"/>
      <c r="AC404" s="165"/>
      <c r="AD404" s="165"/>
      <c r="AE404" s="165"/>
      <c r="AF404" s="165"/>
      <c r="AG404" s="165"/>
    </row>
    <row r="405" spans="21:33" ht="19.899999999999999" customHeight="1">
      <c r="U405" s="165"/>
      <c r="V405" s="165"/>
      <c r="W405" s="165"/>
      <c r="X405" s="165"/>
      <c r="Y405" s="165"/>
      <c r="Z405" s="165"/>
      <c r="AA405" s="165"/>
      <c r="AB405" s="165"/>
      <c r="AC405" s="165"/>
      <c r="AD405" s="165"/>
      <c r="AE405" s="165"/>
      <c r="AF405" s="165"/>
      <c r="AG405" s="165"/>
    </row>
    <row r="406" spans="21:33" ht="19.899999999999999" customHeight="1">
      <c r="U406" s="165"/>
      <c r="V406" s="165"/>
      <c r="W406" s="165"/>
      <c r="X406" s="165"/>
      <c r="Y406" s="165"/>
      <c r="Z406" s="165"/>
      <c r="AA406" s="165"/>
      <c r="AB406" s="165"/>
      <c r="AC406" s="165"/>
      <c r="AD406" s="165"/>
      <c r="AE406" s="165"/>
      <c r="AF406" s="165"/>
      <c r="AG406" s="165"/>
    </row>
    <row r="407" spans="21:33" ht="19.899999999999999" customHeight="1">
      <c r="U407" s="165"/>
      <c r="V407" s="165"/>
      <c r="W407" s="165"/>
      <c r="X407" s="165"/>
      <c r="Y407" s="165"/>
      <c r="Z407" s="165"/>
      <c r="AA407" s="165"/>
      <c r="AB407" s="165"/>
      <c r="AC407" s="165"/>
      <c r="AD407" s="165"/>
      <c r="AE407" s="165"/>
      <c r="AF407" s="165"/>
      <c r="AG407" s="165"/>
    </row>
    <row r="408" spans="21:33" ht="19.899999999999999" customHeight="1">
      <c r="U408" s="165"/>
      <c r="V408" s="165"/>
      <c r="W408" s="165"/>
      <c r="X408" s="165"/>
      <c r="Y408" s="165"/>
      <c r="Z408" s="165"/>
      <c r="AA408" s="165"/>
      <c r="AB408" s="165"/>
      <c r="AC408" s="165"/>
      <c r="AD408" s="165"/>
      <c r="AE408" s="165"/>
      <c r="AF408" s="165"/>
      <c r="AG408" s="165"/>
    </row>
    <row r="409" spans="21:33" ht="19.899999999999999" customHeight="1">
      <c r="U409" s="165"/>
      <c r="V409" s="165"/>
      <c r="W409" s="165"/>
      <c r="X409" s="165"/>
      <c r="Y409" s="165"/>
      <c r="Z409" s="165"/>
      <c r="AA409" s="165"/>
      <c r="AB409" s="165"/>
      <c r="AC409" s="165"/>
      <c r="AD409" s="165"/>
      <c r="AE409" s="165"/>
      <c r="AF409" s="165"/>
      <c r="AG409" s="165"/>
    </row>
    <row r="410" spans="21:33" ht="19.899999999999999" customHeight="1">
      <c r="U410" s="165"/>
      <c r="V410" s="165"/>
      <c r="W410" s="165"/>
      <c r="X410" s="165"/>
      <c r="Y410" s="165"/>
      <c r="Z410" s="165"/>
      <c r="AA410" s="165"/>
      <c r="AB410" s="165"/>
      <c r="AC410" s="165"/>
      <c r="AD410" s="165"/>
      <c r="AE410" s="165"/>
      <c r="AF410" s="165"/>
      <c r="AG410" s="165"/>
    </row>
    <row r="411" spans="21:33" ht="19.899999999999999" customHeight="1">
      <c r="U411" s="165"/>
      <c r="V411" s="165"/>
      <c r="W411" s="165"/>
      <c r="X411" s="165"/>
      <c r="Y411" s="165"/>
      <c r="Z411" s="165"/>
      <c r="AA411" s="165"/>
      <c r="AB411" s="165"/>
      <c r="AC411" s="165"/>
      <c r="AD411" s="165"/>
      <c r="AE411" s="165"/>
      <c r="AF411" s="165"/>
      <c r="AG411" s="165"/>
    </row>
    <row r="412" spans="21:33" ht="19.899999999999999" customHeight="1">
      <c r="U412" s="165"/>
      <c r="V412" s="165"/>
      <c r="W412" s="165"/>
      <c r="X412" s="165"/>
      <c r="Y412" s="165"/>
      <c r="Z412" s="165"/>
      <c r="AA412" s="165"/>
      <c r="AB412" s="165"/>
      <c r="AC412" s="165"/>
      <c r="AD412" s="165"/>
      <c r="AE412" s="165"/>
      <c r="AF412" s="165"/>
      <c r="AG412" s="165"/>
    </row>
    <row r="413" spans="21:33" ht="19.899999999999999" customHeight="1">
      <c r="U413" s="165"/>
      <c r="V413" s="165"/>
      <c r="W413" s="165"/>
      <c r="X413" s="165"/>
      <c r="Y413" s="165"/>
      <c r="Z413" s="165"/>
      <c r="AA413" s="165"/>
      <c r="AB413" s="165"/>
      <c r="AC413" s="165"/>
      <c r="AD413" s="165"/>
      <c r="AE413" s="165"/>
      <c r="AF413" s="165"/>
      <c r="AG413" s="165"/>
    </row>
    <row r="414" spans="21:33" ht="19.899999999999999" customHeight="1">
      <c r="U414" s="165"/>
      <c r="V414" s="165"/>
      <c r="W414" s="165"/>
      <c r="X414" s="165"/>
      <c r="Y414" s="165"/>
      <c r="Z414" s="165"/>
      <c r="AA414" s="165"/>
      <c r="AB414" s="165"/>
      <c r="AC414" s="165"/>
      <c r="AD414" s="165"/>
      <c r="AE414" s="165"/>
      <c r="AF414" s="165"/>
      <c r="AG414" s="165"/>
    </row>
    <row r="415" spans="21:33" ht="19.899999999999999" customHeight="1">
      <c r="U415" s="165"/>
      <c r="V415" s="165"/>
      <c r="W415" s="165"/>
      <c r="X415" s="165"/>
      <c r="Y415" s="165"/>
      <c r="Z415" s="165"/>
      <c r="AA415" s="165"/>
      <c r="AB415" s="165"/>
      <c r="AC415" s="165"/>
      <c r="AD415" s="165"/>
      <c r="AE415" s="165"/>
      <c r="AF415" s="165"/>
      <c r="AG415" s="165"/>
    </row>
    <row r="416" spans="21:33" ht="19.899999999999999" customHeight="1">
      <c r="U416" s="165"/>
      <c r="V416" s="165"/>
      <c r="W416" s="165"/>
      <c r="X416" s="165"/>
      <c r="Y416" s="165"/>
      <c r="Z416" s="165"/>
      <c r="AA416" s="165"/>
      <c r="AB416" s="165"/>
      <c r="AC416" s="165"/>
      <c r="AD416" s="165"/>
      <c r="AE416" s="165"/>
      <c r="AF416" s="165"/>
      <c r="AG416" s="165"/>
    </row>
    <row r="417" spans="21:33" ht="19.899999999999999" customHeight="1">
      <c r="U417" s="165"/>
      <c r="V417" s="165"/>
      <c r="W417" s="165"/>
      <c r="X417" s="165"/>
      <c r="Y417" s="165"/>
      <c r="Z417" s="165"/>
      <c r="AA417" s="165"/>
      <c r="AB417" s="165"/>
      <c r="AC417" s="165"/>
      <c r="AD417" s="165"/>
      <c r="AE417" s="165"/>
      <c r="AF417" s="165"/>
      <c r="AG417" s="165"/>
    </row>
    <row r="418" spans="21:33">
      <c r="U418" s="165"/>
      <c r="V418" s="165"/>
      <c r="W418" s="165"/>
      <c r="X418" s="165"/>
      <c r="Y418" s="165"/>
      <c r="Z418" s="165"/>
      <c r="AA418" s="165"/>
      <c r="AB418" s="165"/>
      <c r="AC418" s="165"/>
      <c r="AD418" s="165"/>
      <c r="AE418" s="165"/>
      <c r="AF418" s="165"/>
      <c r="AG418" s="165"/>
    </row>
    <row r="419" spans="21:33">
      <c r="U419" s="165"/>
      <c r="V419" s="165"/>
      <c r="W419" s="165"/>
      <c r="X419" s="165"/>
      <c r="Y419" s="165"/>
      <c r="Z419" s="165"/>
      <c r="AA419" s="165"/>
      <c r="AB419" s="165"/>
      <c r="AC419" s="165"/>
      <c r="AD419" s="165"/>
      <c r="AE419" s="165"/>
      <c r="AF419" s="165"/>
      <c r="AG419" s="165"/>
    </row>
    <row r="420" spans="21:33">
      <c r="U420" s="165"/>
      <c r="V420" s="165"/>
      <c r="W420" s="165"/>
      <c r="X420" s="165"/>
      <c r="Y420" s="165"/>
      <c r="Z420" s="165"/>
      <c r="AA420" s="165"/>
      <c r="AB420" s="165"/>
      <c r="AC420" s="165"/>
      <c r="AD420" s="165"/>
      <c r="AE420" s="165"/>
      <c r="AF420" s="165"/>
      <c r="AG420" s="165"/>
    </row>
    <row r="421" spans="21:33">
      <c r="U421" s="165"/>
      <c r="V421" s="165"/>
      <c r="W421" s="165"/>
      <c r="X421" s="165"/>
      <c r="Y421" s="165"/>
      <c r="Z421" s="165"/>
      <c r="AA421" s="165"/>
      <c r="AB421" s="165"/>
      <c r="AC421" s="165"/>
      <c r="AD421" s="165"/>
      <c r="AE421" s="165"/>
      <c r="AF421" s="165"/>
      <c r="AG421" s="165"/>
    </row>
    <row r="422" spans="21:33">
      <c r="U422" s="165"/>
      <c r="V422" s="165"/>
      <c r="W422" s="165"/>
      <c r="X422" s="165"/>
      <c r="Y422" s="165"/>
      <c r="Z422" s="165"/>
      <c r="AA422" s="165"/>
      <c r="AB422" s="165"/>
      <c r="AC422" s="165"/>
      <c r="AD422" s="165"/>
      <c r="AE422" s="165"/>
      <c r="AF422" s="165"/>
      <c r="AG422" s="165"/>
    </row>
    <row r="423" spans="21:33">
      <c r="U423" s="165"/>
      <c r="V423" s="165"/>
      <c r="W423" s="165"/>
      <c r="X423" s="165"/>
      <c r="Y423" s="165"/>
      <c r="Z423" s="165"/>
      <c r="AA423" s="165"/>
      <c r="AB423" s="165"/>
      <c r="AC423" s="165"/>
      <c r="AD423" s="165"/>
      <c r="AE423" s="165"/>
      <c r="AF423" s="165"/>
      <c r="AG423" s="165"/>
    </row>
    <row r="424" spans="21:33">
      <c r="U424" s="165"/>
      <c r="V424" s="165"/>
      <c r="W424" s="165"/>
      <c r="X424" s="165"/>
      <c r="Y424" s="165"/>
      <c r="Z424" s="165"/>
      <c r="AA424" s="165"/>
      <c r="AB424" s="165"/>
      <c r="AC424" s="165"/>
      <c r="AD424" s="165"/>
      <c r="AE424" s="165"/>
      <c r="AF424" s="165"/>
      <c r="AG424" s="165"/>
    </row>
    <row r="425" spans="21:33">
      <c r="U425" s="165"/>
      <c r="V425" s="165"/>
      <c r="W425" s="165"/>
      <c r="X425" s="165"/>
      <c r="Y425" s="165"/>
      <c r="Z425" s="165"/>
      <c r="AA425" s="165"/>
      <c r="AB425" s="165"/>
      <c r="AC425" s="165"/>
      <c r="AD425" s="165"/>
      <c r="AE425" s="165"/>
      <c r="AF425" s="165"/>
      <c r="AG425" s="165"/>
    </row>
    <row r="426" spans="21:33">
      <c r="U426" s="165"/>
      <c r="V426" s="165"/>
      <c r="W426" s="165"/>
      <c r="X426" s="165"/>
      <c r="Y426" s="165"/>
      <c r="Z426" s="165"/>
      <c r="AA426" s="165"/>
      <c r="AB426" s="165"/>
      <c r="AC426" s="165"/>
      <c r="AD426" s="165"/>
      <c r="AE426" s="165"/>
      <c r="AF426" s="165"/>
      <c r="AG426" s="165"/>
    </row>
    <row r="427" spans="21:33">
      <c r="U427" s="165"/>
      <c r="V427" s="165"/>
      <c r="W427" s="165"/>
      <c r="X427" s="165"/>
      <c r="Y427" s="165"/>
      <c r="Z427" s="165"/>
      <c r="AA427" s="165"/>
      <c r="AB427" s="165"/>
      <c r="AC427" s="165"/>
      <c r="AD427" s="165"/>
      <c r="AE427" s="165"/>
      <c r="AF427" s="165"/>
      <c r="AG427" s="165"/>
    </row>
    <row r="428" spans="21:33">
      <c r="U428" s="165"/>
      <c r="V428" s="165"/>
      <c r="W428" s="165"/>
      <c r="X428" s="165"/>
      <c r="Y428" s="165"/>
      <c r="Z428" s="165"/>
      <c r="AA428" s="165"/>
      <c r="AB428" s="165"/>
      <c r="AC428" s="165"/>
      <c r="AD428" s="165"/>
      <c r="AE428" s="165"/>
      <c r="AF428" s="165"/>
      <c r="AG428" s="165"/>
    </row>
    <row r="429" spans="21:33">
      <c r="U429" s="165"/>
      <c r="V429" s="165"/>
      <c r="W429" s="165"/>
      <c r="X429" s="165"/>
      <c r="Y429" s="165"/>
      <c r="Z429" s="165"/>
      <c r="AA429" s="165"/>
      <c r="AB429" s="165"/>
      <c r="AC429" s="165"/>
      <c r="AD429" s="165"/>
      <c r="AE429" s="165"/>
      <c r="AF429" s="165"/>
      <c r="AG429" s="165"/>
    </row>
    <row r="430" spans="21:33">
      <c r="U430" s="165"/>
      <c r="V430" s="165"/>
      <c r="W430" s="165"/>
      <c r="X430" s="165"/>
      <c r="Y430" s="165"/>
      <c r="Z430" s="165"/>
      <c r="AA430" s="165"/>
      <c r="AB430" s="165"/>
      <c r="AC430" s="165"/>
      <c r="AD430" s="165"/>
      <c r="AE430" s="165"/>
      <c r="AF430" s="165"/>
      <c r="AG430" s="165"/>
    </row>
    <row r="431" spans="21:33">
      <c r="U431" s="165"/>
      <c r="V431" s="165"/>
      <c r="W431" s="165"/>
      <c r="X431" s="165"/>
      <c r="Y431" s="165"/>
      <c r="Z431" s="165"/>
      <c r="AA431" s="165"/>
      <c r="AB431" s="165"/>
      <c r="AC431" s="165"/>
      <c r="AD431" s="165"/>
      <c r="AE431" s="165"/>
      <c r="AF431" s="165"/>
      <c r="AG431" s="165"/>
    </row>
    <row r="432" spans="21:33">
      <c r="U432" s="165"/>
      <c r="V432" s="165"/>
      <c r="W432" s="165"/>
      <c r="X432" s="165"/>
      <c r="Y432" s="165"/>
      <c r="Z432" s="165"/>
      <c r="AA432" s="165"/>
      <c r="AB432" s="165"/>
      <c r="AC432" s="165"/>
      <c r="AD432" s="165"/>
      <c r="AE432" s="165"/>
      <c r="AF432" s="165"/>
      <c r="AG432" s="165"/>
    </row>
    <row r="433" spans="21:33">
      <c r="U433" s="165"/>
      <c r="V433" s="165"/>
      <c r="W433" s="165"/>
      <c r="X433" s="165"/>
      <c r="Y433" s="165"/>
      <c r="Z433" s="165"/>
      <c r="AA433" s="165"/>
      <c r="AB433" s="165"/>
      <c r="AC433" s="165"/>
      <c r="AD433" s="165"/>
      <c r="AE433" s="165"/>
      <c r="AF433" s="165"/>
      <c r="AG433" s="165"/>
    </row>
    <row r="434" spans="21:33">
      <c r="U434" s="165"/>
      <c r="V434" s="165"/>
      <c r="W434" s="165"/>
      <c r="X434" s="165"/>
      <c r="Y434" s="165"/>
      <c r="Z434" s="165"/>
      <c r="AA434" s="165"/>
      <c r="AB434" s="165"/>
      <c r="AC434" s="165"/>
      <c r="AD434" s="165"/>
      <c r="AE434" s="165"/>
      <c r="AF434" s="165"/>
      <c r="AG434" s="165"/>
    </row>
    <row r="435" spans="21:33">
      <c r="U435" s="165"/>
      <c r="V435" s="165"/>
      <c r="W435" s="165"/>
      <c r="X435" s="165"/>
      <c r="Y435" s="165"/>
      <c r="Z435" s="165"/>
      <c r="AA435" s="165"/>
      <c r="AB435" s="165"/>
      <c r="AC435" s="165"/>
      <c r="AD435" s="165"/>
      <c r="AE435" s="165"/>
      <c r="AF435" s="165"/>
      <c r="AG435" s="165"/>
    </row>
    <row r="436" spans="21:33">
      <c r="U436" s="165"/>
      <c r="V436" s="165"/>
      <c r="W436" s="165"/>
      <c r="X436" s="165"/>
      <c r="Y436" s="165"/>
      <c r="Z436" s="165"/>
      <c r="AA436" s="165"/>
      <c r="AB436" s="165"/>
      <c r="AC436" s="165"/>
      <c r="AD436" s="165"/>
      <c r="AE436" s="165"/>
      <c r="AF436" s="165"/>
      <c r="AG436" s="165"/>
    </row>
    <row r="437" spans="21:33">
      <c r="U437" s="165"/>
      <c r="V437" s="165"/>
      <c r="W437" s="165"/>
      <c r="X437" s="165"/>
      <c r="Y437" s="165"/>
      <c r="Z437" s="165"/>
      <c r="AA437" s="165"/>
      <c r="AB437" s="165"/>
      <c r="AC437" s="165"/>
      <c r="AD437" s="165"/>
      <c r="AE437" s="165"/>
      <c r="AF437" s="165"/>
      <c r="AG437" s="165"/>
    </row>
    <row r="438" spans="21:33">
      <c r="U438" s="165"/>
      <c r="V438" s="165"/>
      <c r="W438" s="165"/>
      <c r="X438" s="165"/>
      <c r="Y438" s="165"/>
      <c r="Z438" s="165"/>
      <c r="AA438" s="165"/>
      <c r="AB438" s="165"/>
      <c r="AC438" s="165"/>
      <c r="AD438" s="165"/>
      <c r="AE438" s="165"/>
      <c r="AF438" s="165"/>
      <c r="AG438" s="165"/>
    </row>
    <row r="439" spans="21:33">
      <c r="U439" s="165"/>
      <c r="V439" s="165"/>
      <c r="W439" s="165"/>
      <c r="X439" s="165"/>
      <c r="Y439" s="165"/>
      <c r="Z439" s="165"/>
      <c r="AA439" s="165"/>
      <c r="AB439" s="165"/>
      <c r="AC439" s="165"/>
      <c r="AD439" s="165"/>
      <c r="AE439" s="165"/>
      <c r="AF439" s="165"/>
      <c r="AG439" s="165"/>
    </row>
    <row r="440" spans="21:33">
      <c r="U440" s="165"/>
      <c r="V440" s="165"/>
      <c r="W440" s="165"/>
      <c r="X440" s="165"/>
      <c r="Y440" s="165"/>
      <c r="Z440" s="165"/>
      <c r="AA440" s="165"/>
      <c r="AB440" s="165"/>
      <c r="AC440" s="165"/>
      <c r="AD440" s="165"/>
      <c r="AE440" s="165"/>
      <c r="AF440" s="165"/>
      <c r="AG440" s="165"/>
    </row>
    <row r="441" spans="21:33">
      <c r="U441" s="165"/>
      <c r="V441" s="165"/>
      <c r="W441" s="165"/>
      <c r="X441" s="165"/>
      <c r="Y441" s="165"/>
      <c r="Z441" s="165"/>
      <c r="AA441" s="165"/>
      <c r="AB441" s="165"/>
      <c r="AC441" s="165"/>
      <c r="AD441" s="165"/>
      <c r="AE441" s="165"/>
      <c r="AF441" s="165"/>
      <c r="AG441" s="165"/>
    </row>
    <row r="442" spans="21:33">
      <c r="U442" s="165"/>
      <c r="V442" s="165"/>
      <c r="W442" s="165"/>
      <c r="X442" s="165"/>
      <c r="Y442" s="165"/>
      <c r="Z442" s="165"/>
      <c r="AA442" s="165"/>
      <c r="AB442" s="165"/>
      <c r="AC442" s="165"/>
      <c r="AD442" s="165"/>
      <c r="AE442" s="165"/>
      <c r="AF442" s="165"/>
      <c r="AG442" s="165"/>
    </row>
    <row r="443" spans="21:33">
      <c r="U443" s="165"/>
      <c r="V443" s="165"/>
      <c r="W443" s="165"/>
      <c r="X443" s="165"/>
      <c r="Y443" s="165"/>
      <c r="Z443" s="165"/>
      <c r="AA443" s="165"/>
      <c r="AB443" s="165"/>
      <c r="AC443" s="165"/>
      <c r="AD443" s="165"/>
      <c r="AE443" s="165"/>
      <c r="AF443" s="165"/>
      <c r="AG443" s="165"/>
    </row>
    <row r="444" spans="21:33">
      <c r="U444" s="165"/>
      <c r="V444" s="165"/>
      <c r="W444" s="165"/>
      <c r="X444" s="165"/>
      <c r="Y444" s="165"/>
      <c r="Z444" s="165"/>
      <c r="AA444" s="165"/>
      <c r="AB444" s="165"/>
      <c r="AC444" s="165"/>
      <c r="AD444" s="165"/>
      <c r="AE444" s="165"/>
      <c r="AF444" s="165"/>
      <c r="AG444" s="165"/>
    </row>
    <row r="445" spans="21:33">
      <c r="U445" s="165"/>
      <c r="V445" s="165"/>
      <c r="W445" s="165"/>
      <c r="X445" s="165"/>
      <c r="Y445" s="165"/>
      <c r="Z445" s="165"/>
      <c r="AA445" s="165"/>
      <c r="AB445" s="165"/>
      <c r="AC445" s="165"/>
      <c r="AD445" s="165"/>
      <c r="AE445" s="165"/>
      <c r="AF445" s="165"/>
      <c r="AG445" s="165"/>
    </row>
    <row r="446" spans="21:33">
      <c r="U446" s="165"/>
      <c r="V446" s="165"/>
      <c r="W446" s="165"/>
      <c r="X446" s="165"/>
      <c r="Y446" s="165"/>
      <c r="Z446" s="165"/>
      <c r="AA446" s="165"/>
      <c r="AB446" s="165"/>
      <c r="AC446" s="165"/>
      <c r="AD446" s="165"/>
      <c r="AE446" s="165"/>
      <c r="AF446" s="165"/>
      <c r="AG446" s="165"/>
    </row>
    <row r="447" spans="21:33">
      <c r="U447" s="165"/>
      <c r="V447" s="165"/>
      <c r="W447" s="165"/>
      <c r="X447" s="165"/>
      <c r="Y447" s="165"/>
      <c r="Z447" s="165"/>
      <c r="AA447" s="165"/>
      <c r="AB447" s="165"/>
      <c r="AC447" s="165"/>
      <c r="AD447" s="165"/>
      <c r="AE447" s="165"/>
      <c r="AF447" s="165"/>
      <c r="AG447" s="165"/>
    </row>
    <row r="448" spans="21:33">
      <c r="U448" s="165"/>
      <c r="V448" s="165"/>
      <c r="W448" s="165"/>
      <c r="X448" s="165"/>
      <c r="Y448" s="165"/>
      <c r="Z448" s="165"/>
      <c r="AA448" s="165"/>
      <c r="AB448" s="165"/>
      <c r="AC448" s="165"/>
      <c r="AD448" s="165"/>
      <c r="AE448" s="165"/>
      <c r="AF448" s="165"/>
      <c r="AG448" s="165"/>
    </row>
    <row r="449" spans="21:33">
      <c r="U449" s="165"/>
      <c r="V449" s="165"/>
      <c r="W449" s="165"/>
      <c r="X449" s="165"/>
      <c r="Y449" s="165"/>
      <c r="Z449" s="165"/>
      <c r="AA449" s="165"/>
      <c r="AB449" s="165"/>
      <c r="AC449" s="165"/>
      <c r="AD449" s="165"/>
      <c r="AE449" s="165"/>
      <c r="AF449" s="165"/>
      <c r="AG449" s="165"/>
    </row>
    <row r="450" spans="21:33">
      <c r="U450" s="165"/>
      <c r="V450" s="165"/>
      <c r="W450" s="165"/>
      <c r="X450" s="165"/>
      <c r="Y450" s="165"/>
      <c r="Z450" s="165"/>
      <c r="AA450" s="165"/>
      <c r="AB450" s="165"/>
      <c r="AC450" s="165"/>
      <c r="AD450" s="165"/>
      <c r="AE450" s="165"/>
      <c r="AF450" s="165"/>
      <c r="AG450" s="165"/>
    </row>
    <row r="451" spans="21:33">
      <c r="U451" s="165"/>
      <c r="V451" s="165"/>
      <c r="W451" s="165"/>
      <c r="X451" s="165"/>
      <c r="Y451" s="165"/>
      <c r="Z451" s="165"/>
      <c r="AA451" s="165"/>
      <c r="AB451" s="165"/>
      <c r="AC451" s="165"/>
      <c r="AD451" s="165"/>
      <c r="AE451" s="165"/>
      <c r="AF451" s="165"/>
      <c r="AG451" s="165"/>
    </row>
    <row r="452" spans="21:33">
      <c r="U452" s="165"/>
      <c r="V452" s="165"/>
      <c r="W452" s="165"/>
      <c r="X452" s="165"/>
      <c r="Y452" s="165"/>
      <c r="Z452" s="165"/>
      <c r="AA452" s="165"/>
      <c r="AB452" s="165"/>
      <c r="AC452" s="165"/>
      <c r="AD452" s="165"/>
      <c r="AE452" s="165"/>
      <c r="AF452" s="165"/>
      <c r="AG452" s="165"/>
    </row>
    <row r="453" spans="21:33">
      <c r="U453" s="165"/>
      <c r="V453" s="165"/>
      <c r="W453" s="165"/>
      <c r="X453" s="165"/>
      <c r="Y453" s="165"/>
      <c r="Z453" s="165"/>
      <c r="AA453" s="165"/>
      <c r="AB453" s="165"/>
      <c r="AC453" s="165"/>
      <c r="AD453" s="165"/>
      <c r="AE453" s="165"/>
      <c r="AF453" s="165"/>
      <c r="AG453" s="165"/>
    </row>
    <row r="454" spans="21:33">
      <c r="U454" s="165"/>
      <c r="V454" s="165"/>
      <c r="W454" s="165"/>
      <c r="X454" s="165"/>
      <c r="Y454" s="165"/>
      <c r="Z454" s="165"/>
      <c r="AA454" s="165"/>
      <c r="AB454" s="165"/>
      <c r="AC454" s="165"/>
      <c r="AD454" s="165"/>
      <c r="AE454" s="165"/>
      <c r="AF454" s="165"/>
      <c r="AG454" s="165"/>
    </row>
    <row r="455" spans="21:33">
      <c r="U455" s="165"/>
      <c r="V455" s="165"/>
      <c r="W455" s="165"/>
      <c r="X455" s="165"/>
      <c r="Y455" s="165"/>
      <c r="Z455" s="165"/>
      <c r="AA455" s="165"/>
      <c r="AB455" s="165"/>
      <c r="AC455" s="165"/>
      <c r="AD455" s="165"/>
      <c r="AE455" s="165"/>
      <c r="AF455" s="165"/>
      <c r="AG455" s="165"/>
    </row>
    <row r="456" spans="21:33">
      <c r="U456" s="165"/>
      <c r="V456" s="165"/>
      <c r="W456" s="165"/>
      <c r="X456" s="165"/>
      <c r="Y456" s="165"/>
      <c r="Z456" s="165"/>
      <c r="AA456" s="165"/>
      <c r="AB456" s="165"/>
      <c r="AC456" s="165"/>
      <c r="AD456" s="165"/>
      <c r="AE456" s="165"/>
      <c r="AF456" s="165"/>
      <c r="AG456" s="165"/>
    </row>
    <row r="457" spans="21:33">
      <c r="U457" s="165"/>
      <c r="V457" s="165"/>
      <c r="W457" s="165"/>
      <c r="X457" s="165"/>
      <c r="Y457" s="165"/>
      <c r="Z457" s="165"/>
      <c r="AA457" s="165"/>
      <c r="AB457" s="165"/>
      <c r="AC457" s="165"/>
      <c r="AD457" s="165"/>
      <c r="AE457" s="165"/>
      <c r="AF457" s="165"/>
      <c r="AG457" s="165"/>
    </row>
    <row r="458" spans="21:33">
      <c r="U458" s="165"/>
      <c r="V458" s="165"/>
      <c r="W458" s="165"/>
      <c r="X458" s="165"/>
      <c r="Y458" s="165"/>
      <c r="Z458" s="165"/>
      <c r="AA458" s="165"/>
      <c r="AB458" s="165"/>
      <c r="AC458" s="165"/>
      <c r="AD458" s="165"/>
      <c r="AE458" s="165"/>
      <c r="AF458" s="165"/>
      <c r="AG458" s="165"/>
    </row>
    <row r="459" spans="21:33">
      <c r="U459" s="165"/>
      <c r="V459" s="165"/>
      <c r="W459" s="165"/>
      <c r="X459" s="165"/>
      <c r="Y459" s="165"/>
      <c r="Z459" s="165"/>
      <c r="AA459" s="165"/>
      <c r="AB459" s="165"/>
      <c r="AC459" s="165"/>
      <c r="AD459" s="165"/>
      <c r="AE459" s="165"/>
      <c r="AF459" s="165"/>
      <c r="AG459" s="165"/>
    </row>
    <row r="460" spans="21:33">
      <c r="U460" s="165"/>
      <c r="V460" s="165"/>
      <c r="W460" s="165"/>
      <c r="X460" s="165"/>
      <c r="Y460" s="165"/>
      <c r="Z460" s="165"/>
      <c r="AA460" s="165"/>
      <c r="AB460" s="165"/>
      <c r="AC460" s="165"/>
      <c r="AD460" s="165"/>
      <c r="AE460" s="165"/>
      <c r="AF460" s="165"/>
      <c r="AG460" s="165"/>
    </row>
    <row r="461" spans="21:33">
      <c r="U461" s="165"/>
      <c r="V461" s="165"/>
      <c r="W461" s="165"/>
      <c r="X461" s="165"/>
      <c r="Y461" s="165"/>
      <c r="Z461" s="165"/>
      <c r="AA461" s="165"/>
      <c r="AB461" s="165"/>
      <c r="AC461" s="165"/>
      <c r="AD461" s="165"/>
      <c r="AE461" s="165"/>
      <c r="AF461" s="165"/>
      <c r="AG461" s="165"/>
    </row>
    <row r="462" spans="21:33">
      <c r="U462" s="165"/>
      <c r="V462" s="165"/>
      <c r="W462" s="165"/>
      <c r="X462" s="165"/>
      <c r="Y462" s="165"/>
      <c r="Z462" s="165"/>
      <c r="AA462" s="165"/>
      <c r="AB462" s="165"/>
      <c r="AC462" s="165"/>
      <c r="AD462" s="165"/>
      <c r="AE462" s="165"/>
      <c r="AF462" s="165"/>
      <c r="AG462" s="165"/>
    </row>
    <row r="463" spans="21:33">
      <c r="U463" s="165"/>
      <c r="V463" s="165"/>
      <c r="W463" s="165"/>
      <c r="X463" s="165"/>
      <c r="Y463" s="165"/>
      <c r="Z463" s="165"/>
      <c r="AA463" s="165"/>
      <c r="AB463" s="165"/>
      <c r="AC463" s="165"/>
      <c r="AD463" s="165"/>
      <c r="AE463" s="165"/>
      <c r="AF463" s="165"/>
      <c r="AG463" s="165"/>
    </row>
    <row r="464" spans="21:33">
      <c r="U464" s="165"/>
      <c r="V464" s="165"/>
      <c r="W464" s="165"/>
      <c r="X464" s="165"/>
      <c r="Y464" s="165"/>
      <c r="Z464" s="165"/>
      <c r="AA464" s="165"/>
      <c r="AB464" s="165"/>
      <c r="AC464" s="165"/>
      <c r="AD464" s="165"/>
      <c r="AE464" s="165"/>
      <c r="AF464" s="165"/>
      <c r="AG464" s="165"/>
    </row>
    <row r="465" spans="21:33">
      <c r="U465" s="165"/>
      <c r="V465" s="165"/>
      <c r="W465" s="165"/>
      <c r="X465" s="165"/>
      <c r="Y465" s="165"/>
      <c r="Z465" s="165"/>
      <c r="AA465" s="165"/>
      <c r="AB465" s="165"/>
      <c r="AC465" s="165"/>
      <c r="AD465" s="165"/>
      <c r="AE465" s="165"/>
      <c r="AF465" s="165"/>
      <c r="AG465" s="165"/>
    </row>
    <row r="466" spans="21:33">
      <c r="U466" s="165"/>
      <c r="V466" s="165"/>
      <c r="W466" s="165"/>
      <c r="X466" s="165"/>
      <c r="Y466" s="165"/>
      <c r="Z466" s="165"/>
      <c r="AA466" s="165"/>
      <c r="AB466" s="165"/>
      <c r="AC466" s="165"/>
      <c r="AD466" s="165"/>
      <c r="AE466" s="165"/>
      <c r="AF466" s="165"/>
      <c r="AG466" s="165"/>
    </row>
    <row r="467" spans="21:33">
      <c r="U467" s="165"/>
      <c r="V467" s="165"/>
      <c r="W467" s="165"/>
      <c r="X467" s="165"/>
      <c r="Y467" s="165"/>
      <c r="Z467" s="165"/>
      <c r="AA467" s="165"/>
      <c r="AB467" s="165"/>
      <c r="AC467" s="165"/>
      <c r="AD467" s="165"/>
      <c r="AE467" s="165"/>
      <c r="AF467" s="165"/>
      <c r="AG467" s="165"/>
    </row>
    <row r="468" spans="21:33">
      <c r="U468" s="165"/>
      <c r="V468" s="165"/>
      <c r="W468" s="165"/>
      <c r="X468" s="165"/>
      <c r="Y468" s="165"/>
      <c r="Z468" s="165"/>
      <c r="AA468" s="165"/>
      <c r="AB468" s="165"/>
      <c r="AC468" s="165"/>
      <c r="AD468" s="165"/>
      <c r="AE468" s="165"/>
      <c r="AF468" s="165"/>
      <c r="AG468" s="165"/>
    </row>
    <row r="469" spans="21:33">
      <c r="U469" s="165"/>
      <c r="V469" s="165"/>
      <c r="W469" s="165"/>
      <c r="X469" s="165"/>
      <c r="Y469" s="165"/>
      <c r="Z469" s="165"/>
      <c r="AA469" s="165"/>
      <c r="AB469" s="165"/>
      <c r="AC469" s="165"/>
      <c r="AD469" s="165"/>
      <c r="AE469" s="165"/>
      <c r="AF469" s="165"/>
      <c r="AG469" s="165"/>
    </row>
    <row r="470" spans="21:33">
      <c r="U470" s="165"/>
      <c r="V470" s="165"/>
      <c r="W470" s="165"/>
      <c r="X470" s="165"/>
      <c r="Y470" s="165"/>
      <c r="Z470" s="165"/>
      <c r="AA470" s="165"/>
      <c r="AB470" s="165"/>
      <c r="AC470" s="165"/>
      <c r="AD470" s="165"/>
      <c r="AE470" s="165"/>
      <c r="AF470" s="165"/>
      <c r="AG470" s="165"/>
    </row>
    <row r="471" spans="21:33">
      <c r="U471" s="165"/>
      <c r="V471" s="165"/>
      <c r="W471" s="165"/>
      <c r="X471" s="165"/>
      <c r="Y471" s="165"/>
      <c r="Z471" s="165"/>
      <c r="AA471" s="165"/>
      <c r="AB471" s="165"/>
      <c r="AC471" s="165"/>
      <c r="AD471" s="165"/>
      <c r="AE471" s="165"/>
      <c r="AF471" s="165"/>
      <c r="AG471" s="165"/>
    </row>
    <row r="472" spans="21:33">
      <c r="U472" s="165"/>
      <c r="V472" s="165"/>
      <c r="W472" s="165"/>
      <c r="X472" s="165"/>
      <c r="Y472" s="165"/>
      <c r="Z472" s="165"/>
      <c r="AA472" s="165"/>
      <c r="AB472" s="165"/>
      <c r="AC472" s="165"/>
      <c r="AD472" s="165"/>
      <c r="AE472" s="165"/>
      <c r="AF472" s="165"/>
      <c r="AG472" s="165"/>
    </row>
    <row r="473" spans="21:33">
      <c r="U473" s="165"/>
      <c r="V473" s="165"/>
      <c r="W473" s="165"/>
      <c r="X473" s="165"/>
      <c r="Y473" s="165"/>
      <c r="Z473" s="165"/>
      <c r="AA473" s="165"/>
      <c r="AB473" s="165"/>
      <c r="AC473" s="165"/>
      <c r="AD473" s="165"/>
      <c r="AE473" s="165"/>
      <c r="AF473" s="165"/>
      <c r="AG473" s="165"/>
    </row>
    <row r="474" spans="21:33">
      <c r="U474" s="165"/>
      <c r="V474" s="165"/>
      <c r="W474" s="165"/>
      <c r="X474" s="165"/>
      <c r="Y474" s="165"/>
      <c r="Z474" s="165"/>
      <c r="AA474" s="165"/>
      <c r="AB474" s="165"/>
      <c r="AC474" s="165"/>
      <c r="AD474" s="165"/>
      <c r="AE474" s="165"/>
      <c r="AF474" s="165"/>
      <c r="AG474" s="165"/>
    </row>
    <row r="475" spans="21:33">
      <c r="U475" s="165"/>
      <c r="V475" s="165"/>
      <c r="W475" s="165"/>
      <c r="X475" s="165"/>
      <c r="Y475" s="165"/>
      <c r="Z475" s="165"/>
      <c r="AA475" s="165"/>
      <c r="AB475" s="165"/>
      <c r="AC475" s="165"/>
      <c r="AD475" s="165"/>
      <c r="AE475" s="165"/>
      <c r="AF475" s="165"/>
      <c r="AG475" s="165"/>
    </row>
    <row r="476" spans="21:33">
      <c r="U476" s="165"/>
      <c r="V476" s="165"/>
      <c r="W476" s="165"/>
      <c r="X476" s="165"/>
      <c r="Y476" s="165"/>
      <c r="Z476" s="165"/>
      <c r="AA476" s="165"/>
      <c r="AB476" s="165"/>
      <c r="AC476" s="165"/>
      <c r="AD476" s="165"/>
      <c r="AE476" s="165"/>
      <c r="AF476" s="165"/>
      <c r="AG476" s="165"/>
    </row>
    <row r="477" spans="21:33">
      <c r="U477" s="165"/>
      <c r="V477" s="165"/>
      <c r="W477" s="165"/>
      <c r="X477" s="165"/>
      <c r="Y477" s="165"/>
      <c r="Z477" s="165"/>
      <c r="AA477" s="165"/>
      <c r="AB477" s="165"/>
      <c r="AC477" s="165"/>
      <c r="AD477" s="165"/>
      <c r="AE477" s="165"/>
      <c r="AF477" s="165"/>
      <c r="AG477" s="165"/>
    </row>
    <row r="478" spans="21:33">
      <c r="U478" s="165"/>
      <c r="V478" s="165"/>
      <c r="W478" s="165"/>
      <c r="X478" s="165"/>
      <c r="Y478" s="165"/>
      <c r="Z478" s="165"/>
      <c r="AA478" s="165"/>
      <c r="AB478" s="165"/>
      <c r="AC478" s="165"/>
      <c r="AD478" s="165"/>
      <c r="AE478" s="165"/>
      <c r="AF478" s="165"/>
      <c r="AG478" s="165"/>
    </row>
    <row r="479" spans="21:33">
      <c r="U479" s="165"/>
      <c r="V479" s="165"/>
      <c r="W479" s="165"/>
      <c r="X479" s="165"/>
      <c r="Y479" s="165"/>
      <c r="Z479" s="165"/>
      <c r="AA479" s="165"/>
      <c r="AB479" s="165"/>
      <c r="AC479" s="165"/>
      <c r="AD479" s="165"/>
      <c r="AE479" s="165"/>
      <c r="AF479" s="165"/>
      <c r="AG479" s="165"/>
    </row>
    <row r="480" spans="21:33">
      <c r="U480" s="165"/>
      <c r="V480" s="165"/>
      <c r="W480" s="165"/>
      <c r="X480" s="165"/>
      <c r="Y480" s="165"/>
      <c r="Z480" s="165"/>
      <c r="AA480" s="165"/>
      <c r="AB480" s="165"/>
      <c r="AC480" s="165"/>
      <c r="AD480" s="165"/>
      <c r="AE480" s="165"/>
      <c r="AF480" s="165"/>
      <c r="AG480" s="165"/>
    </row>
    <row r="481" spans="21:33">
      <c r="U481" s="165"/>
      <c r="V481" s="165"/>
      <c r="W481" s="165"/>
      <c r="X481" s="165"/>
      <c r="Y481" s="165"/>
      <c r="Z481" s="165"/>
      <c r="AA481" s="165"/>
      <c r="AB481" s="165"/>
      <c r="AC481" s="165"/>
      <c r="AD481" s="165"/>
      <c r="AE481" s="165"/>
      <c r="AF481" s="165"/>
      <c r="AG481" s="165"/>
    </row>
    <row r="482" spans="21:33">
      <c r="U482" s="165"/>
      <c r="V482" s="165"/>
      <c r="W482" s="165"/>
      <c r="X482" s="165"/>
      <c r="Y482" s="165"/>
      <c r="Z482" s="165"/>
      <c r="AA482" s="165"/>
      <c r="AB482" s="165"/>
      <c r="AC482" s="165"/>
      <c r="AD482" s="165"/>
      <c r="AE482" s="165"/>
      <c r="AF482" s="165"/>
      <c r="AG482" s="165"/>
    </row>
    <row r="483" spans="21:33">
      <c r="U483" s="165"/>
      <c r="V483" s="165"/>
      <c r="W483" s="165"/>
      <c r="X483" s="165"/>
      <c r="Y483" s="165"/>
      <c r="Z483" s="165"/>
      <c r="AA483" s="165"/>
      <c r="AB483" s="165"/>
      <c r="AC483" s="165"/>
      <c r="AD483" s="165"/>
      <c r="AE483" s="165"/>
      <c r="AF483" s="165"/>
      <c r="AG483" s="165"/>
    </row>
    <row r="484" spans="21:33">
      <c r="U484" s="165"/>
      <c r="V484" s="165"/>
      <c r="W484" s="165"/>
      <c r="X484" s="165"/>
      <c r="Y484" s="165"/>
      <c r="Z484" s="165"/>
      <c r="AA484" s="165"/>
      <c r="AB484" s="165"/>
      <c r="AC484" s="165"/>
      <c r="AD484" s="165"/>
      <c r="AE484" s="165"/>
      <c r="AF484" s="165"/>
      <c r="AG484" s="165"/>
    </row>
    <row r="485" spans="21:33">
      <c r="U485" s="165"/>
      <c r="V485" s="165"/>
      <c r="W485" s="165"/>
      <c r="X485" s="165"/>
      <c r="Y485" s="165"/>
      <c r="Z485" s="165"/>
      <c r="AA485" s="165"/>
      <c r="AB485" s="165"/>
      <c r="AC485" s="165"/>
      <c r="AD485" s="165"/>
      <c r="AE485" s="165"/>
      <c r="AF485" s="165"/>
      <c r="AG485" s="165"/>
    </row>
    <row r="486" spans="21:33">
      <c r="U486" s="165"/>
      <c r="V486" s="165"/>
      <c r="W486" s="165"/>
      <c r="X486" s="165"/>
      <c r="Y486" s="165"/>
      <c r="Z486" s="165"/>
      <c r="AA486" s="165"/>
      <c r="AB486" s="165"/>
      <c r="AC486" s="165"/>
      <c r="AD486" s="165"/>
      <c r="AE486" s="165"/>
      <c r="AF486" s="165"/>
      <c r="AG486" s="165"/>
    </row>
    <row r="487" spans="21:33">
      <c r="U487" s="165"/>
      <c r="V487" s="165"/>
      <c r="W487" s="165"/>
      <c r="X487" s="165"/>
      <c r="Y487" s="165"/>
      <c r="Z487" s="165"/>
      <c r="AA487" s="165"/>
      <c r="AB487" s="165"/>
      <c r="AC487" s="165"/>
      <c r="AD487" s="165"/>
      <c r="AE487" s="165"/>
      <c r="AF487" s="165"/>
      <c r="AG487" s="165"/>
    </row>
    <row r="488" spans="21:33">
      <c r="U488" s="165"/>
      <c r="V488" s="165"/>
      <c r="W488" s="165"/>
      <c r="X488" s="165"/>
      <c r="Y488" s="165"/>
      <c r="Z488" s="165"/>
      <c r="AA488" s="165"/>
      <c r="AB488" s="165"/>
      <c r="AC488" s="165"/>
      <c r="AD488" s="165"/>
      <c r="AE488" s="165"/>
      <c r="AF488" s="165"/>
      <c r="AG488" s="165"/>
    </row>
    <row r="489" spans="21:33">
      <c r="U489" s="165"/>
      <c r="V489" s="165"/>
      <c r="W489" s="165"/>
      <c r="X489" s="165"/>
      <c r="Y489" s="165"/>
      <c r="Z489" s="165"/>
      <c r="AA489" s="165"/>
      <c r="AB489" s="165"/>
      <c r="AC489" s="165"/>
      <c r="AD489" s="165"/>
      <c r="AE489" s="165"/>
      <c r="AF489" s="165"/>
      <c r="AG489" s="165"/>
    </row>
    <row r="490" spans="21:33">
      <c r="U490" s="165"/>
      <c r="V490" s="165"/>
      <c r="W490" s="165"/>
      <c r="X490" s="165"/>
      <c r="Y490" s="165"/>
      <c r="Z490" s="165"/>
      <c r="AA490" s="165"/>
      <c r="AB490" s="165"/>
      <c r="AC490" s="165"/>
      <c r="AD490" s="165"/>
      <c r="AE490" s="165"/>
      <c r="AF490" s="165"/>
      <c r="AG490" s="165"/>
    </row>
    <row r="491" spans="21:33">
      <c r="U491" s="165"/>
      <c r="V491" s="165"/>
      <c r="W491" s="165"/>
      <c r="X491" s="165"/>
      <c r="Y491" s="165"/>
      <c r="Z491" s="165"/>
      <c r="AA491" s="165"/>
      <c r="AB491" s="165"/>
      <c r="AC491" s="165"/>
      <c r="AD491" s="165"/>
      <c r="AE491" s="165"/>
      <c r="AF491" s="165"/>
      <c r="AG491" s="165"/>
    </row>
    <row r="492" spans="21:33">
      <c r="U492" s="165"/>
      <c r="V492" s="165"/>
      <c r="W492" s="165"/>
      <c r="X492" s="165"/>
      <c r="Y492" s="165"/>
      <c r="Z492" s="165"/>
      <c r="AA492" s="165"/>
      <c r="AB492" s="165"/>
      <c r="AC492" s="165"/>
      <c r="AD492" s="165"/>
      <c r="AE492" s="165"/>
      <c r="AF492" s="165"/>
      <c r="AG492" s="165"/>
    </row>
    <row r="493" spans="21:33">
      <c r="U493" s="165"/>
      <c r="V493" s="165"/>
      <c r="W493" s="165"/>
      <c r="X493" s="165"/>
      <c r="Y493" s="165"/>
      <c r="Z493" s="165"/>
      <c r="AA493" s="165"/>
      <c r="AB493" s="165"/>
      <c r="AC493" s="165"/>
      <c r="AD493" s="165"/>
      <c r="AE493" s="165"/>
      <c r="AF493" s="165"/>
      <c r="AG493" s="165"/>
    </row>
    <row r="494" spans="21:33">
      <c r="U494" s="165"/>
      <c r="V494" s="165"/>
      <c r="W494" s="165"/>
      <c r="X494" s="165"/>
      <c r="Y494" s="165"/>
      <c r="Z494" s="165"/>
      <c r="AA494" s="165"/>
      <c r="AB494" s="165"/>
      <c r="AC494" s="165"/>
      <c r="AD494" s="165"/>
      <c r="AE494" s="165"/>
      <c r="AF494" s="165"/>
      <c r="AG494" s="165"/>
    </row>
    <row r="495" spans="21:33">
      <c r="U495" s="165"/>
      <c r="V495" s="165"/>
      <c r="W495" s="165"/>
      <c r="X495" s="165"/>
      <c r="Y495" s="165"/>
      <c r="Z495" s="165"/>
      <c r="AA495" s="165"/>
      <c r="AB495" s="165"/>
      <c r="AC495" s="165"/>
      <c r="AD495" s="165"/>
      <c r="AE495" s="165"/>
      <c r="AF495" s="165"/>
      <c r="AG495" s="165"/>
    </row>
    <row r="496" spans="21:33">
      <c r="U496" s="165"/>
      <c r="V496" s="165"/>
      <c r="W496" s="165"/>
      <c r="X496" s="165"/>
      <c r="Y496" s="165"/>
      <c r="Z496" s="165"/>
      <c r="AA496" s="165"/>
      <c r="AB496" s="165"/>
      <c r="AC496" s="165"/>
      <c r="AD496" s="165"/>
      <c r="AE496" s="165"/>
      <c r="AF496" s="165"/>
      <c r="AG496" s="165"/>
    </row>
    <row r="497" spans="21:33">
      <c r="U497" s="165"/>
      <c r="V497" s="165"/>
      <c r="W497" s="165"/>
      <c r="X497" s="165"/>
      <c r="Y497" s="165"/>
      <c r="Z497" s="165"/>
      <c r="AA497" s="165"/>
      <c r="AB497" s="165"/>
      <c r="AC497" s="165"/>
      <c r="AD497" s="165"/>
      <c r="AE497" s="165"/>
      <c r="AF497" s="165"/>
      <c r="AG497" s="165"/>
    </row>
    <row r="498" spans="21:33">
      <c r="U498" s="165"/>
      <c r="V498" s="165"/>
      <c r="W498" s="165"/>
      <c r="X498" s="165"/>
      <c r="Y498" s="165"/>
      <c r="Z498" s="165"/>
      <c r="AA498" s="165"/>
      <c r="AB498" s="165"/>
      <c r="AC498" s="165"/>
      <c r="AD498" s="165"/>
      <c r="AE498" s="165"/>
      <c r="AF498" s="165"/>
      <c r="AG498" s="165"/>
    </row>
    <row r="499" spans="21:33">
      <c r="U499" s="165"/>
      <c r="V499" s="165"/>
      <c r="W499" s="165"/>
      <c r="X499" s="165"/>
      <c r="Y499" s="165"/>
      <c r="Z499" s="165"/>
      <c r="AA499" s="165"/>
      <c r="AB499" s="165"/>
      <c r="AC499" s="165"/>
      <c r="AD499" s="165"/>
      <c r="AE499" s="165"/>
      <c r="AF499" s="165"/>
      <c r="AG499" s="165"/>
    </row>
    <row r="500" spans="21:33">
      <c r="U500" s="165"/>
      <c r="V500" s="165"/>
      <c r="W500" s="165"/>
      <c r="X500" s="165"/>
      <c r="Y500" s="165"/>
      <c r="Z500" s="165"/>
      <c r="AA500" s="165"/>
      <c r="AB500" s="165"/>
      <c r="AC500" s="165"/>
      <c r="AD500" s="165"/>
      <c r="AE500" s="165"/>
      <c r="AF500" s="165"/>
      <c r="AG500" s="165"/>
    </row>
    <row r="501" spans="21:33">
      <c r="U501" s="165"/>
      <c r="V501" s="165"/>
      <c r="W501" s="165"/>
      <c r="X501" s="165"/>
      <c r="Y501" s="165"/>
      <c r="Z501" s="165"/>
      <c r="AA501" s="165"/>
      <c r="AB501" s="165"/>
      <c r="AC501" s="165"/>
      <c r="AD501" s="165"/>
      <c r="AE501" s="165"/>
      <c r="AF501" s="165"/>
      <c r="AG501" s="165"/>
    </row>
    <row r="502" spans="21:33">
      <c r="U502" s="165"/>
      <c r="V502" s="165"/>
      <c r="W502" s="165"/>
      <c r="X502" s="165"/>
      <c r="Y502" s="165"/>
      <c r="Z502" s="165"/>
      <c r="AA502" s="165"/>
      <c r="AB502" s="165"/>
      <c r="AC502" s="165"/>
      <c r="AD502" s="165"/>
      <c r="AE502" s="165"/>
      <c r="AF502" s="165"/>
      <c r="AG502" s="165"/>
    </row>
    <row r="503" spans="21:33">
      <c r="U503" s="165"/>
      <c r="V503" s="165"/>
      <c r="W503" s="165"/>
      <c r="X503" s="165"/>
      <c r="Y503" s="165"/>
      <c r="Z503" s="165"/>
      <c r="AA503" s="165"/>
      <c r="AB503" s="165"/>
      <c r="AC503" s="165"/>
      <c r="AD503" s="165"/>
      <c r="AE503" s="165"/>
      <c r="AF503" s="165"/>
      <c r="AG503" s="165"/>
    </row>
    <row r="504" spans="21:33">
      <c r="U504" s="165"/>
      <c r="V504" s="165"/>
      <c r="W504" s="165"/>
      <c r="X504" s="165"/>
      <c r="Y504" s="165"/>
      <c r="Z504" s="165"/>
      <c r="AA504" s="165"/>
      <c r="AB504" s="165"/>
      <c r="AC504" s="165"/>
      <c r="AD504" s="165"/>
      <c r="AE504" s="165"/>
      <c r="AF504" s="165"/>
      <c r="AG504" s="165"/>
    </row>
    <row r="505" spans="21:33">
      <c r="U505" s="165"/>
      <c r="V505" s="165"/>
      <c r="W505" s="165"/>
      <c r="X505" s="165"/>
      <c r="Y505" s="165"/>
      <c r="Z505" s="165"/>
      <c r="AA505" s="165"/>
      <c r="AB505" s="165"/>
      <c r="AC505" s="165"/>
      <c r="AD505" s="165"/>
      <c r="AE505" s="165"/>
      <c r="AF505" s="165"/>
      <c r="AG505" s="165"/>
    </row>
    <row r="506" spans="21:33">
      <c r="U506" s="165"/>
      <c r="V506" s="165"/>
      <c r="W506" s="165"/>
      <c r="X506" s="165"/>
      <c r="Y506" s="165"/>
      <c r="Z506" s="165"/>
      <c r="AA506" s="165"/>
      <c r="AB506" s="165"/>
      <c r="AC506" s="165"/>
      <c r="AD506" s="165"/>
      <c r="AE506" s="165"/>
      <c r="AF506" s="165"/>
      <c r="AG506" s="165"/>
    </row>
    <row r="507" spans="21:33">
      <c r="U507" s="165"/>
      <c r="V507" s="165"/>
      <c r="W507" s="165"/>
      <c r="X507" s="165"/>
      <c r="Y507" s="165"/>
      <c r="Z507" s="165"/>
      <c r="AA507" s="165"/>
      <c r="AB507" s="165"/>
      <c r="AC507" s="165"/>
      <c r="AD507" s="165"/>
      <c r="AE507" s="165"/>
      <c r="AF507" s="165"/>
      <c r="AG507" s="165"/>
    </row>
    <row r="508" spans="21:33">
      <c r="U508" s="165"/>
      <c r="V508" s="165"/>
      <c r="W508" s="165"/>
      <c r="X508" s="165"/>
      <c r="Y508" s="165"/>
      <c r="Z508" s="165"/>
      <c r="AA508" s="165"/>
      <c r="AB508" s="165"/>
      <c r="AC508" s="165"/>
      <c r="AD508" s="165"/>
      <c r="AE508" s="165"/>
      <c r="AF508" s="165"/>
      <c r="AG508" s="165"/>
    </row>
    <row r="509" spans="21:33">
      <c r="U509" s="165"/>
      <c r="V509" s="165"/>
      <c r="W509" s="165"/>
      <c r="X509" s="165"/>
      <c r="Y509" s="165"/>
      <c r="Z509" s="165"/>
      <c r="AA509" s="165"/>
      <c r="AB509" s="165"/>
      <c r="AC509" s="165"/>
      <c r="AD509" s="165"/>
      <c r="AE509" s="165"/>
      <c r="AF509" s="165"/>
      <c r="AG509" s="165"/>
    </row>
    <row r="510" spans="21:33">
      <c r="U510" s="165"/>
      <c r="V510" s="165"/>
      <c r="W510" s="165"/>
      <c r="X510" s="165"/>
      <c r="Y510" s="165"/>
      <c r="Z510" s="165"/>
      <c r="AA510" s="165"/>
      <c r="AB510" s="165"/>
      <c r="AC510" s="165"/>
      <c r="AD510" s="165"/>
      <c r="AE510" s="165"/>
      <c r="AF510" s="165"/>
      <c r="AG510" s="165"/>
    </row>
    <row r="511" spans="21:33">
      <c r="U511" s="165"/>
      <c r="V511" s="165"/>
      <c r="W511" s="165"/>
      <c r="X511" s="165"/>
      <c r="Y511" s="165"/>
      <c r="Z511" s="165"/>
      <c r="AA511" s="165"/>
      <c r="AB511" s="165"/>
      <c r="AC511" s="165"/>
      <c r="AD511" s="165"/>
      <c r="AE511" s="165"/>
      <c r="AF511" s="165"/>
      <c r="AG511" s="165"/>
    </row>
    <row r="512" spans="21:33">
      <c r="U512" s="165"/>
      <c r="V512" s="165"/>
      <c r="W512" s="165"/>
      <c r="X512" s="165"/>
      <c r="Y512" s="165"/>
      <c r="Z512" s="165"/>
      <c r="AA512" s="165"/>
      <c r="AB512" s="165"/>
      <c r="AC512" s="165"/>
      <c r="AD512" s="165"/>
      <c r="AE512" s="165"/>
      <c r="AF512" s="165"/>
      <c r="AG512" s="165"/>
    </row>
    <row r="513" spans="21:33">
      <c r="U513" s="165"/>
      <c r="V513" s="165"/>
      <c r="W513" s="165"/>
      <c r="X513" s="165"/>
      <c r="Y513" s="165"/>
      <c r="Z513" s="165"/>
      <c r="AA513" s="165"/>
      <c r="AB513" s="165"/>
      <c r="AC513" s="165"/>
      <c r="AD513" s="165"/>
      <c r="AE513" s="165"/>
      <c r="AF513" s="165"/>
      <c r="AG513" s="165"/>
    </row>
    <row r="514" spans="21:33">
      <c r="U514" s="165"/>
      <c r="V514" s="165"/>
      <c r="W514" s="165"/>
      <c r="X514" s="165"/>
      <c r="Y514" s="165"/>
      <c r="Z514" s="165"/>
      <c r="AA514" s="165"/>
      <c r="AB514" s="165"/>
      <c r="AC514" s="165"/>
      <c r="AD514" s="165"/>
      <c r="AE514" s="165"/>
      <c r="AF514" s="165"/>
      <c r="AG514" s="165"/>
    </row>
    <row r="515" spans="21:33">
      <c r="U515" s="165"/>
      <c r="V515" s="165"/>
      <c r="W515" s="165"/>
      <c r="X515" s="165"/>
      <c r="Y515" s="165"/>
      <c r="Z515" s="165"/>
      <c r="AA515" s="165"/>
      <c r="AB515" s="165"/>
      <c r="AC515" s="165"/>
      <c r="AD515" s="165"/>
      <c r="AE515" s="165"/>
      <c r="AF515" s="165"/>
      <c r="AG515" s="165"/>
    </row>
    <row r="516" spans="21:33">
      <c r="U516" s="165"/>
      <c r="V516" s="165"/>
      <c r="W516" s="165"/>
      <c r="X516" s="165"/>
      <c r="Y516" s="165"/>
      <c r="Z516" s="165"/>
      <c r="AA516" s="165"/>
      <c r="AB516" s="165"/>
      <c r="AC516" s="165"/>
      <c r="AD516" s="165"/>
      <c r="AE516" s="165"/>
      <c r="AF516" s="165"/>
      <c r="AG516" s="165"/>
    </row>
    <row r="517" spans="21:33">
      <c r="U517" s="165"/>
      <c r="V517" s="165"/>
      <c r="W517" s="165"/>
      <c r="X517" s="165"/>
      <c r="Y517" s="165"/>
      <c r="Z517" s="165"/>
      <c r="AA517" s="165"/>
      <c r="AB517" s="165"/>
      <c r="AC517" s="165"/>
      <c r="AD517" s="165"/>
      <c r="AE517" s="165"/>
      <c r="AF517" s="165"/>
      <c r="AG517" s="165"/>
    </row>
    <row r="518" spans="21:33">
      <c r="U518" s="165"/>
      <c r="V518" s="165"/>
      <c r="W518" s="165"/>
      <c r="X518" s="165"/>
      <c r="Y518" s="165"/>
      <c r="Z518" s="165"/>
      <c r="AA518" s="165"/>
      <c r="AB518" s="165"/>
      <c r="AC518" s="165"/>
      <c r="AD518" s="165"/>
      <c r="AE518" s="165"/>
      <c r="AF518" s="165"/>
      <c r="AG518" s="165"/>
    </row>
    <row r="519" spans="21:33">
      <c r="U519" s="165"/>
      <c r="V519" s="165"/>
      <c r="W519" s="165"/>
      <c r="X519" s="165"/>
      <c r="Y519" s="165"/>
      <c r="Z519" s="165"/>
      <c r="AA519" s="165"/>
      <c r="AB519" s="165"/>
      <c r="AC519" s="165"/>
      <c r="AD519" s="165"/>
      <c r="AE519" s="165"/>
      <c r="AF519" s="165"/>
      <c r="AG519" s="165"/>
    </row>
    <row r="520" spans="21:33">
      <c r="U520" s="165"/>
      <c r="V520" s="165"/>
      <c r="W520" s="165"/>
      <c r="X520" s="165"/>
      <c r="Y520" s="165"/>
      <c r="Z520" s="165"/>
      <c r="AA520" s="165"/>
      <c r="AB520" s="165"/>
      <c r="AC520" s="165"/>
      <c r="AD520" s="165"/>
      <c r="AE520" s="165"/>
      <c r="AF520" s="165"/>
      <c r="AG520" s="165"/>
    </row>
    <row r="521" spans="21:33">
      <c r="U521" s="165"/>
      <c r="V521" s="165"/>
      <c r="W521" s="165"/>
      <c r="X521" s="165"/>
      <c r="Y521" s="165"/>
      <c r="Z521" s="165"/>
      <c r="AA521" s="165"/>
      <c r="AB521" s="165"/>
      <c r="AC521" s="165"/>
      <c r="AD521" s="165"/>
      <c r="AE521" s="165"/>
      <c r="AF521" s="165"/>
      <c r="AG521" s="165"/>
    </row>
    <row r="522" spans="21:33">
      <c r="U522" s="165"/>
      <c r="V522" s="165"/>
      <c r="W522" s="165"/>
      <c r="X522" s="165"/>
      <c r="Y522" s="165"/>
      <c r="Z522" s="165"/>
      <c r="AA522" s="165"/>
      <c r="AB522" s="165"/>
      <c r="AC522" s="165"/>
      <c r="AD522" s="165"/>
      <c r="AE522" s="165"/>
      <c r="AF522" s="165"/>
      <c r="AG522" s="165"/>
    </row>
    <row r="523" spans="21:33">
      <c r="U523" s="165"/>
      <c r="V523" s="165"/>
      <c r="W523" s="165"/>
      <c r="X523" s="165"/>
      <c r="Y523" s="165"/>
      <c r="Z523" s="165"/>
      <c r="AA523" s="165"/>
      <c r="AB523" s="165"/>
      <c r="AC523" s="165"/>
      <c r="AD523" s="165"/>
      <c r="AE523" s="165"/>
      <c r="AF523" s="165"/>
      <c r="AG523" s="165"/>
    </row>
    <row r="524" spans="21:33">
      <c r="U524" s="165"/>
      <c r="V524" s="165"/>
      <c r="W524" s="165"/>
      <c r="X524" s="165"/>
      <c r="Y524" s="165"/>
      <c r="Z524" s="165"/>
      <c r="AA524" s="165"/>
      <c r="AB524" s="165"/>
      <c r="AC524" s="165"/>
      <c r="AD524" s="165"/>
      <c r="AE524" s="165"/>
      <c r="AF524" s="165"/>
      <c r="AG524" s="165"/>
    </row>
    <row r="525" spans="21:33">
      <c r="U525" s="165"/>
      <c r="V525" s="165"/>
      <c r="W525" s="165"/>
      <c r="X525" s="165"/>
      <c r="Y525" s="165"/>
      <c r="Z525" s="165"/>
      <c r="AA525" s="165"/>
      <c r="AB525" s="165"/>
      <c r="AC525" s="165"/>
      <c r="AD525" s="165"/>
      <c r="AE525" s="165"/>
      <c r="AF525" s="165"/>
      <c r="AG525" s="165"/>
    </row>
    <row r="526" spans="21:33">
      <c r="U526" s="165"/>
      <c r="V526" s="165"/>
      <c r="W526" s="165"/>
      <c r="X526" s="165"/>
      <c r="Y526" s="165"/>
      <c r="Z526" s="165"/>
      <c r="AA526" s="165"/>
      <c r="AB526" s="165"/>
      <c r="AC526" s="165"/>
      <c r="AD526" s="165"/>
      <c r="AE526" s="165"/>
      <c r="AF526" s="165"/>
      <c r="AG526" s="165"/>
    </row>
    <row r="527" spans="21:33">
      <c r="U527" s="165"/>
      <c r="V527" s="165"/>
      <c r="W527" s="165"/>
      <c r="X527" s="165"/>
      <c r="Y527" s="165"/>
      <c r="Z527" s="165"/>
      <c r="AA527" s="165"/>
      <c r="AB527" s="165"/>
      <c r="AC527" s="165"/>
      <c r="AD527" s="165"/>
      <c r="AE527" s="165"/>
      <c r="AF527" s="165"/>
      <c r="AG527" s="165"/>
    </row>
    <row r="528" spans="21:33">
      <c r="U528" s="165"/>
      <c r="V528" s="165"/>
      <c r="W528" s="165"/>
      <c r="X528" s="165"/>
      <c r="Y528" s="165"/>
      <c r="Z528" s="165"/>
      <c r="AA528" s="165"/>
      <c r="AB528" s="165"/>
      <c r="AC528" s="165"/>
      <c r="AD528" s="165"/>
      <c r="AE528" s="165"/>
      <c r="AF528" s="165"/>
      <c r="AG528" s="165"/>
    </row>
    <row r="529" spans="21:33">
      <c r="U529" s="165"/>
      <c r="V529" s="165"/>
      <c r="W529" s="165"/>
      <c r="X529" s="165"/>
      <c r="Y529" s="165"/>
      <c r="Z529" s="165"/>
      <c r="AA529" s="165"/>
      <c r="AB529" s="165"/>
      <c r="AC529" s="165"/>
      <c r="AD529" s="165"/>
      <c r="AE529" s="165"/>
      <c r="AF529" s="165"/>
      <c r="AG529" s="165"/>
    </row>
    <row r="530" spans="21:33">
      <c r="U530" s="165"/>
      <c r="V530" s="165"/>
      <c r="W530" s="165"/>
      <c r="X530" s="165"/>
      <c r="Y530" s="165"/>
      <c r="Z530" s="165"/>
      <c r="AA530" s="165"/>
      <c r="AB530" s="165"/>
      <c r="AC530" s="165"/>
      <c r="AD530" s="165"/>
      <c r="AE530" s="165"/>
      <c r="AF530" s="165"/>
      <c r="AG530" s="165"/>
    </row>
    <row r="531" spans="21:33">
      <c r="U531" s="165"/>
      <c r="V531" s="165"/>
      <c r="W531" s="165"/>
      <c r="X531" s="165"/>
      <c r="Y531" s="165"/>
      <c r="Z531" s="165"/>
      <c r="AA531" s="165"/>
      <c r="AB531" s="165"/>
      <c r="AC531" s="165"/>
      <c r="AD531" s="165"/>
      <c r="AE531" s="165"/>
      <c r="AF531" s="165"/>
      <c r="AG531" s="165"/>
    </row>
    <row r="532" spans="21:33">
      <c r="U532" s="165"/>
      <c r="V532" s="165"/>
      <c r="W532" s="165"/>
      <c r="X532" s="165"/>
      <c r="Y532" s="165"/>
      <c r="Z532" s="165"/>
      <c r="AA532" s="165"/>
      <c r="AB532" s="165"/>
      <c r="AC532" s="165"/>
      <c r="AD532" s="165"/>
      <c r="AE532" s="165"/>
      <c r="AF532" s="165"/>
      <c r="AG532" s="165"/>
    </row>
    <row r="533" spans="21:33">
      <c r="U533" s="165"/>
      <c r="V533" s="165"/>
      <c r="W533" s="165"/>
      <c r="X533" s="165"/>
      <c r="Y533" s="165"/>
      <c r="Z533" s="165"/>
      <c r="AA533" s="165"/>
      <c r="AB533" s="165"/>
      <c r="AC533" s="165"/>
      <c r="AD533" s="165"/>
      <c r="AE533" s="165"/>
      <c r="AF533" s="165"/>
      <c r="AG533" s="165"/>
    </row>
    <row r="534" spans="21:33">
      <c r="U534" s="165"/>
      <c r="V534" s="165"/>
      <c r="W534" s="165"/>
      <c r="X534" s="165"/>
      <c r="Y534" s="165"/>
      <c r="Z534" s="165"/>
      <c r="AA534" s="165"/>
      <c r="AB534" s="165"/>
      <c r="AC534" s="165"/>
      <c r="AD534" s="165"/>
      <c r="AE534" s="165"/>
      <c r="AF534" s="165"/>
      <c r="AG534" s="165"/>
    </row>
    <row r="535" spans="21:33">
      <c r="U535" s="165"/>
      <c r="V535" s="165"/>
      <c r="W535" s="165"/>
      <c r="X535" s="165"/>
      <c r="Y535" s="165"/>
      <c r="Z535" s="165"/>
      <c r="AA535" s="165"/>
      <c r="AB535" s="165"/>
      <c r="AC535" s="165"/>
      <c r="AD535" s="165"/>
      <c r="AE535" s="165"/>
      <c r="AF535" s="165"/>
      <c r="AG535" s="165"/>
    </row>
    <row r="536" spans="21:33">
      <c r="U536" s="165"/>
      <c r="V536" s="165"/>
      <c r="W536" s="165"/>
      <c r="X536" s="165"/>
      <c r="Y536" s="165"/>
      <c r="Z536" s="165"/>
      <c r="AA536" s="165"/>
      <c r="AB536" s="165"/>
      <c r="AC536" s="165"/>
      <c r="AD536" s="165"/>
      <c r="AE536" s="165"/>
      <c r="AF536" s="165"/>
      <c r="AG536" s="165"/>
    </row>
    <row r="537" spans="21:33">
      <c r="U537" s="165"/>
      <c r="V537" s="165"/>
      <c r="W537" s="165"/>
      <c r="X537" s="165"/>
      <c r="Y537" s="165"/>
      <c r="Z537" s="165"/>
      <c r="AA537" s="165"/>
      <c r="AB537" s="165"/>
      <c r="AC537" s="165"/>
      <c r="AD537" s="165"/>
      <c r="AE537" s="165"/>
      <c r="AF537" s="165"/>
      <c r="AG537" s="165"/>
    </row>
    <row r="538" spans="21:33">
      <c r="U538" s="165"/>
      <c r="V538" s="165"/>
      <c r="W538" s="165"/>
      <c r="X538" s="165"/>
      <c r="Y538" s="165"/>
      <c r="Z538" s="165"/>
      <c r="AA538" s="165"/>
      <c r="AB538" s="165"/>
      <c r="AC538" s="165"/>
      <c r="AD538" s="165"/>
      <c r="AE538" s="165"/>
      <c r="AF538" s="165"/>
      <c r="AG538" s="165"/>
    </row>
    <row r="539" spans="21:33">
      <c r="U539" s="165"/>
      <c r="V539" s="165"/>
      <c r="W539" s="165"/>
      <c r="X539" s="165"/>
      <c r="Y539" s="165"/>
      <c r="Z539" s="165"/>
      <c r="AA539" s="165"/>
      <c r="AB539" s="165"/>
      <c r="AC539" s="165"/>
      <c r="AD539" s="165"/>
      <c r="AE539" s="165"/>
      <c r="AF539" s="165"/>
      <c r="AG539" s="165"/>
    </row>
    <row r="540" spans="21:33">
      <c r="U540" s="165"/>
      <c r="V540" s="165"/>
      <c r="W540" s="165"/>
      <c r="X540" s="165"/>
      <c r="Y540" s="165"/>
      <c r="Z540" s="165"/>
      <c r="AA540" s="165"/>
      <c r="AB540" s="165"/>
      <c r="AC540" s="165"/>
      <c r="AD540" s="165"/>
      <c r="AE540" s="165"/>
      <c r="AF540" s="165"/>
      <c r="AG540" s="165"/>
    </row>
    <row r="541" spans="21:33">
      <c r="U541" s="165"/>
      <c r="V541" s="165"/>
      <c r="W541" s="165"/>
      <c r="X541" s="165"/>
      <c r="Y541" s="165"/>
      <c r="Z541" s="165"/>
      <c r="AA541" s="165"/>
      <c r="AB541" s="165"/>
      <c r="AC541" s="165"/>
      <c r="AD541" s="165"/>
      <c r="AE541" s="165"/>
      <c r="AF541" s="165"/>
      <c r="AG541" s="165"/>
    </row>
    <row r="542" spans="21:33">
      <c r="U542" s="165"/>
      <c r="V542" s="165"/>
      <c r="W542" s="165"/>
      <c r="X542" s="165"/>
      <c r="Y542" s="165"/>
      <c r="Z542" s="165"/>
      <c r="AA542" s="165"/>
      <c r="AB542" s="165"/>
      <c r="AC542" s="165"/>
      <c r="AD542" s="165"/>
      <c r="AE542" s="165"/>
      <c r="AF542" s="165"/>
      <c r="AG542" s="165"/>
    </row>
    <row r="543" spans="21:33">
      <c r="U543" s="165"/>
      <c r="V543" s="165"/>
      <c r="W543" s="165"/>
      <c r="X543" s="165"/>
      <c r="Y543" s="165"/>
      <c r="Z543" s="165"/>
      <c r="AA543" s="165"/>
      <c r="AB543" s="165"/>
      <c r="AC543" s="165"/>
      <c r="AD543" s="165"/>
      <c r="AE543" s="165"/>
      <c r="AF543" s="165"/>
      <c r="AG543" s="165"/>
    </row>
    <row r="544" spans="21:33">
      <c r="U544" s="165"/>
      <c r="V544" s="165"/>
      <c r="W544" s="165"/>
      <c r="X544" s="165"/>
      <c r="Y544" s="165"/>
      <c r="Z544" s="165"/>
      <c r="AA544" s="165"/>
      <c r="AB544" s="165"/>
      <c r="AC544" s="165"/>
      <c r="AD544" s="165"/>
      <c r="AE544" s="165"/>
      <c r="AF544" s="165"/>
      <c r="AG544" s="165"/>
    </row>
    <row r="545" spans="21:33">
      <c r="U545" s="165"/>
      <c r="V545" s="165"/>
      <c r="W545" s="165"/>
      <c r="X545" s="165"/>
      <c r="Y545" s="165"/>
      <c r="Z545" s="165"/>
      <c r="AA545" s="165"/>
      <c r="AB545" s="165"/>
      <c r="AC545" s="165"/>
      <c r="AD545" s="165"/>
      <c r="AE545" s="165"/>
      <c r="AF545" s="165"/>
      <c r="AG545" s="165"/>
    </row>
    <row r="546" spans="21:33">
      <c r="U546" s="165"/>
      <c r="V546" s="165"/>
      <c r="W546" s="165"/>
      <c r="X546" s="165"/>
      <c r="Y546" s="165"/>
      <c r="Z546" s="165"/>
      <c r="AA546" s="165"/>
      <c r="AB546" s="165"/>
      <c r="AC546" s="165"/>
      <c r="AD546" s="165"/>
      <c r="AE546" s="165"/>
      <c r="AF546" s="165"/>
      <c r="AG546" s="165"/>
    </row>
    <row r="547" spans="21:33">
      <c r="U547" s="165"/>
      <c r="V547" s="165"/>
      <c r="W547" s="165"/>
      <c r="X547" s="165"/>
      <c r="Y547" s="165"/>
      <c r="Z547" s="165"/>
      <c r="AA547" s="165"/>
      <c r="AB547" s="165"/>
      <c r="AC547" s="165"/>
      <c r="AD547" s="165"/>
      <c r="AE547" s="165"/>
      <c r="AF547" s="165"/>
      <c r="AG547" s="165"/>
    </row>
    <row r="548" spans="21:33">
      <c r="U548" s="165"/>
      <c r="V548" s="165"/>
      <c r="W548" s="165"/>
      <c r="X548" s="165"/>
      <c r="Y548" s="165"/>
      <c r="Z548" s="165"/>
      <c r="AA548" s="165"/>
      <c r="AB548" s="165"/>
      <c r="AC548" s="165"/>
      <c r="AD548" s="165"/>
      <c r="AE548" s="165"/>
      <c r="AF548" s="165"/>
      <c r="AG548" s="165"/>
    </row>
    <row r="549" spans="21:33">
      <c r="U549" s="165"/>
      <c r="V549" s="165"/>
      <c r="W549" s="165"/>
      <c r="X549" s="165"/>
      <c r="Y549" s="165"/>
      <c r="Z549" s="165"/>
      <c r="AA549" s="165"/>
      <c r="AB549" s="165"/>
      <c r="AC549" s="165"/>
      <c r="AD549" s="165"/>
      <c r="AE549" s="165"/>
      <c r="AF549" s="165"/>
      <c r="AG549" s="165"/>
    </row>
    <row r="550" spans="21:33">
      <c r="U550" s="165"/>
      <c r="V550" s="165"/>
      <c r="W550" s="165"/>
      <c r="X550" s="165"/>
      <c r="Y550" s="165"/>
      <c r="Z550" s="165"/>
      <c r="AA550" s="165"/>
      <c r="AB550" s="165"/>
      <c r="AC550" s="165"/>
      <c r="AD550" s="165"/>
      <c r="AE550" s="165"/>
      <c r="AF550" s="165"/>
      <c r="AG550" s="165"/>
    </row>
    <row r="551" spans="21:33">
      <c r="U551" s="165"/>
      <c r="V551" s="165"/>
      <c r="W551" s="165"/>
      <c r="X551" s="165"/>
      <c r="Y551" s="165"/>
      <c r="Z551" s="165"/>
      <c r="AA551" s="165"/>
      <c r="AB551" s="165"/>
      <c r="AC551" s="165"/>
      <c r="AD551" s="165"/>
      <c r="AE551" s="165"/>
      <c r="AF551" s="165"/>
      <c r="AG551" s="165"/>
    </row>
    <row r="552" spans="21:33">
      <c r="U552" s="165"/>
      <c r="V552" s="165"/>
      <c r="W552" s="165"/>
      <c r="X552" s="165"/>
      <c r="Y552" s="165"/>
      <c r="Z552" s="165"/>
      <c r="AA552" s="165"/>
      <c r="AB552" s="165"/>
      <c r="AC552" s="165"/>
      <c r="AD552" s="165"/>
      <c r="AE552" s="165"/>
      <c r="AF552" s="165"/>
      <c r="AG552" s="165"/>
    </row>
    <row r="553" spans="21:33">
      <c r="U553" s="165"/>
      <c r="V553" s="165"/>
      <c r="W553" s="165"/>
      <c r="X553" s="165"/>
      <c r="Y553" s="165"/>
      <c r="Z553" s="165"/>
      <c r="AA553" s="165"/>
      <c r="AB553" s="165"/>
      <c r="AC553" s="165"/>
      <c r="AD553" s="165"/>
      <c r="AE553" s="165"/>
      <c r="AF553" s="165"/>
      <c r="AG553" s="165"/>
    </row>
    <row r="554" spans="21:33">
      <c r="U554" s="165"/>
      <c r="V554" s="165"/>
      <c r="W554" s="165"/>
      <c r="X554" s="165"/>
      <c r="Y554" s="165"/>
      <c r="Z554" s="165"/>
      <c r="AA554" s="165"/>
      <c r="AB554" s="165"/>
      <c r="AC554" s="165"/>
      <c r="AD554" s="165"/>
      <c r="AE554" s="165"/>
      <c r="AF554" s="165"/>
      <c r="AG554" s="165"/>
    </row>
    <row r="555" spans="21:33">
      <c r="U555" s="165"/>
      <c r="V555" s="165"/>
      <c r="W555" s="165"/>
      <c r="X555" s="165"/>
      <c r="Y555" s="165"/>
      <c r="Z555" s="165"/>
      <c r="AA555" s="165"/>
      <c r="AB555" s="165"/>
      <c r="AC555" s="165"/>
      <c r="AD555" s="165"/>
      <c r="AE555" s="165"/>
      <c r="AF555" s="165"/>
      <c r="AG555" s="165"/>
    </row>
    <row r="556" spans="21:33">
      <c r="U556" s="165"/>
      <c r="V556" s="165"/>
      <c r="W556" s="165"/>
      <c r="X556" s="165"/>
      <c r="Y556" s="165"/>
      <c r="Z556" s="165"/>
      <c r="AA556" s="165"/>
      <c r="AB556" s="165"/>
      <c r="AC556" s="165"/>
      <c r="AD556" s="165"/>
      <c r="AE556" s="165"/>
      <c r="AF556" s="165"/>
      <c r="AG556" s="165"/>
    </row>
    <row r="557" spans="21:33">
      <c r="U557" s="165"/>
      <c r="V557" s="165"/>
      <c r="W557" s="165"/>
      <c r="X557" s="165"/>
      <c r="Y557" s="165"/>
      <c r="Z557" s="165"/>
      <c r="AA557" s="165"/>
      <c r="AB557" s="165"/>
      <c r="AC557" s="165"/>
      <c r="AD557" s="165"/>
      <c r="AE557" s="165"/>
      <c r="AF557" s="165"/>
      <c r="AG557" s="165"/>
    </row>
    <row r="558" spans="21:33">
      <c r="U558" s="165"/>
      <c r="V558" s="165"/>
      <c r="W558" s="165"/>
      <c r="X558" s="165"/>
      <c r="Y558" s="165"/>
      <c r="Z558" s="165"/>
      <c r="AA558" s="165"/>
      <c r="AB558" s="165"/>
      <c r="AC558" s="165"/>
      <c r="AD558" s="165"/>
      <c r="AE558" s="165"/>
      <c r="AF558" s="165"/>
      <c r="AG558" s="165"/>
    </row>
    <row r="559" spans="21:33">
      <c r="U559" s="165"/>
      <c r="V559" s="165"/>
      <c r="W559" s="165"/>
      <c r="X559" s="165"/>
      <c r="Y559" s="165"/>
      <c r="Z559" s="165"/>
      <c r="AA559" s="165"/>
      <c r="AB559" s="165"/>
      <c r="AC559" s="165"/>
      <c r="AD559" s="165"/>
      <c r="AE559" s="165"/>
      <c r="AF559" s="165"/>
      <c r="AG559" s="165"/>
    </row>
    <row r="560" spans="21:33">
      <c r="U560" s="165"/>
      <c r="V560" s="165"/>
      <c r="W560" s="165"/>
      <c r="X560" s="165"/>
      <c r="Y560" s="165"/>
      <c r="Z560" s="165"/>
      <c r="AA560" s="165"/>
      <c r="AB560" s="165"/>
      <c r="AC560" s="165"/>
      <c r="AD560" s="165"/>
      <c r="AE560" s="165"/>
      <c r="AF560" s="165"/>
      <c r="AG560" s="165"/>
    </row>
    <row r="561" spans="21:33">
      <c r="U561" s="165"/>
      <c r="V561" s="165"/>
      <c r="W561" s="165"/>
      <c r="X561" s="165"/>
      <c r="Y561" s="165"/>
      <c r="Z561" s="165"/>
      <c r="AA561" s="165"/>
      <c r="AB561" s="165"/>
      <c r="AC561" s="165"/>
      <c r="AD561" s="165"/>
      <c r="AE561" s="165"/>
      <c r="AF561" s="165"/>
      <c r="AG561" s="165"/>
    </row>
    <row r="562" spans="21:33">
      <c r="U562" s="165"/>
      <c r="V562" s="165"/>
      <c r="W562" s="165"/>
      <c r="X562" s="165"/>
      <c r="Y562" s="165"/>
      <c r="Z562" s="165"/>
      <c r="AA562" s="165"/>
      <c r="AB562" s="165"/>
      <c r="AC562" s="165"/>
      <c r="AD562" s="165"/>
      <c r="AE562" s="165"/>
      <c r="AF562" s="165"/>
      <c r="AG562" s="165"/>
    </row>
    <row r="563" spans="21:33">
      <c r="U563" s="165"/>
      <c r="V563" s="165"/>
      <c r="W563" s="165"/>
      <c r="X563" s="165"/>
      <c r="Y563" s="165"/>
      <c r="Z563" s="165"/>
      <c r="AA563" s="165"/>
      <c r="AB563" s="165"/>
      <c r="AC563" s="165"/>
      <c r="AD563" s="165"/>
      <c r="AE563" s="165"/>
      <c r="AF563" s="165"/>
      <c r="AG563" s="165"/>
    </row>
    <row r="564" spans="21:33">
      <c r="U564" s="165"/>
      <c r="V564" s="165"/>
      <c r="W564" s="165"/>
      <c r="X564" s="165"/>
      <c r="Y564" s="165"/>
      <c r="Z564" s="165"/>
      <c r="AA564" s="165"/>
      <c r="AB564" s="165"/>
      <c r="AC564" s="165"/>
      <c r="AD564" s="165"/>
      <c r="AE564" s="165"/>
      <c r="AF564" s="165"/>
      <c r="AG564" s="165"/>
    </row>
    <row r="565" spans="21:33">
      <c r="U565" s="165"/>
      <c r="V565" s="165"/>
      <c r="W565" s="165"/>
      <c r="X565" s="165"/>
      <c r="Y565" s="165"/>
      <c r="Z565" s="165"/>
      <c r="AA565" s="165"/>
      <c r="AB565" s="165"/>
      <c r="AC565" s="165"/>
      <c r="AD565" s="165"/>
      <c r="AE565" s="165"/>
      <c r="AF565" s="165"/>
      <c r="AG565" s="165"/>
    </row>
    <row r="566" spans="21:33">
      <c r="U566" s="165"/>
      <c r="V566" s="165"/>
      <c r="W566" s="165"/>
      <c r="X566" s="165"/>
      <c r="Y566" s="165"/>
      <c r="Z566" s="165"/>
      <c r="AA566" s="165"/>
      <c r="AB566" s="165"/>
      <c r="AC566" s="165"/>
      <c r="AD566" s="165"/>
      <c r="AE566" s="165"/>
      <c r="AF566" s="165"/>
      <c r="AG566" s="165"/>
    </row>
    <row r="567" spans="21:33">
      <c r="U567" s="165"/>
      <c r="V567" s="165"/>
      <c r="W567" s="165"/>
      <c r="X567" s="165"/>
      <c r="Y567" s="165"/>
      <c r="Z567" s="165"/>
      <c r="AA567" s="165"/>
      <c r="AB567" s="165"/>
      <c r="AC567" s="165"/>
      <c r="AD567" s="165"/>
      <c r="AE567" s="165"/>
      <c r="AF567" s="165"/>
      <c r="AG567" s="165"/>
    </row>
    <row r="568" spans="21:33">
      <c r="U568" s="165"/>
      <c r="V568" s="165"/>
      <c r="W568" s="165"/>
      <c r="X568" s="165"/>
      <c r="Y568" s="165"/>
      <c r="Z568" s="165"/>
      <c r="AA568" s="165"/>
      <c r="AB568" s="165"/>
      <c r="AC568" s="165"/>
      <c r="AD568" s="165"/>
      <c r="AE568" s="165"/>
      <c r="AF568" s="165"/>
      <c r="AG568" s="165"/>
    </row>
    <row r="569" spans="21:33">
      <c r="U569" s="165"/>
      <c r="V569" s="165"/>
      <c r="W569" s="165"/>
      <c r="X569" s="165"/>
      <c r="Y569" s="165"/>
      <c r="Z569" s="165"/>
      <c r="AA569" s="165"/>
      <c r="AB569" s="165"/>
      <c r="AC569" s="165"/>
      <c r="AD569" s="165"/>
      <c r="AE569" s="165"/>
      <c r="AF569" s="165"/>
      <c r="AG569" s="165"/>
    </row>
    <row r="570" spans="21:33">
      <c r="U570" s="165"/>
      <c r="V570" s="165"/>
      <c r="W570" s="165"/>
      <c r="X570" s="165"/>
      <c r="Y570" s="165"/>
      <c r="Z570" s="165"/>
      <c r="AA570" s="165"/>
      <c r="AB570" s="165"/>
      <c r="AC570" s="165"/>
      <c r="AD570" s="165"/>
      <c r="AE570" s="165"/>
      <c r="AF570" s="165"/>
      <c r="AG570" s="165"/>
    </row>
    <row r="571" spans="21:33">
      <c r="U571" s="165"/>
      <c r="V571" s="165"/>
      <c r="W571" s="165"/>
      <c r="X571" s="165"/>
      <c r="Y571" s="165"/>
      <c r="Z571" s="165"/>
      <c r="AA571" s="165"/>
      <c r="AB571" s="165"/>
      <c r="AC571" s="165"/>
      <c r="AD571" s="165"/>
      <c r="AE571" s="165"/>
      <c r="AF571" s="165"/>
      <c r="AG571" s="165"/>
    </row>
    <row r="572" spans="21:33">
      <c r="U572" s="165"/>
      <c r="V572" s="165"/>
      <c r="W572" s="165"/>
      <c r="X572" s="165"/>
      <c r="Y572" s="165"/>
      <c r="Z572" s="165"/>
      <c r="AA572" s="165"/>
      <c r="AB572" s="165"/>
      <c r="AC572" s="165"/>
      <c r="AD572" s="165"/>
      <c r="AE572" s="165"/>
      <c r="AF572" s="165"/>
      <c r="AG572" s="165"/>
    </row>
    <row r="573" spans="21:33">
      <c r="U573" s="165"/>
      <c r="V573" s="165"/>
      <c r="W573" s="165"/>
      <c r="X573" s="165"/>
      <c r="Y573" s="165"/>
      <c r="Z573" s="165"/>
      <c r="AA573" s="165"/>
      <c r="AB573" s="165"/>
      <c r="AC573" s="165"/>
      <c r="AD573" s="165"/>
      <c r="AE573" s="165"/>
      <c r="AF573" s="165"/>
      <c r="AG573" s="165"/>
    </row>
    <row r="574" spans="21:33">
      <c r="U574" s="165"/>
      <c r="V574" s="165"/>
      <c r="W574" s="165"/>
      <c r="X574" s="165"/>
      <c r="Y574" s="165"/>
      <c r="Z574" s="165"/>
      <c r="AA574" s="165"/>
      <c r="AB574" s="165"/>
      <c r="AC574" s="165"/>
      <c r="AD574" s="165"/>
      <c r="AE574" s="165"/>
      <c r="AF574" s="165"/>
      <c r="AG574" s="165"/>
    </row>
    <row r="575" spans="21:33">
      <c r="U575" s="165"/>
      <c r="V575" s="165"/>
      <c r="W575" s="165"/>
      <c r="X575" s="165"/>
      <c r="Y575" s="165"/>
      <c r="Z575" s="165"/>
      <c r="AA575" s="165"/>
      <c r="AB575" s="165"/>
      <c r="AC575" s="165"/>
      <c r="AD575" s="165"/>
      <c r="AE575" s="165"/>
      <c r="AF575" s="165"/>
      <c r="AG575" s="165"/>
    </row>
    <row r="576" spans="21:33">
      <c r="U576" s="165"/>
      <c r="V576" s="165"/>
      <c r="W576" s="165"/>
      <c r="X576" s="165"/>
      <c r="Y576" s="165"/>
      <c r="Z576" s="165"/>
      <c r="AA576" s="165"/>
      <c r="AB576" s="165"/>
      <c r="AC576" s="165"/>
      <c r="AD576" s="165"/>
      <c r="AE576" s="165"/>
      <c r="AF576" s="165"/>
      <c r="AG576" s="165"/>
    </row>
    <row r="577" spans="21:33">
      <c r="U577" s="165"/>
      <c r="V577" s="165"/>
      <c r="W577" s="165"/>
      <c r="X577" s="165"/>
      <c r="Y577" s="165"/>
      <c r="Z577" s="165"/>
      <c r="AA577" s="165"/>
      <c r="AB577" s="165"/>
      <c r="AC577" s="165"/>
      <c r="AD577" s="165"/>
      <c r="AE577" s="165"/>
      <c r="AF577" s="165"/>
      <c r="AG577" s="165"/>
    </row>
    <row r="578" spans="21:33">
      <c r="U578" s="165"/>
      <c r="V578" s="165"/>
      <c r="W578" s="165"/>
      <c r="X578" s="165"/>
      <c r="Y578" s="165"/>
      <c r="Z578" s="165"/>
      <c r="AA578" s="165"/>
      <c r="AB578" s="165"/>
      <c r="AC578" s="165"/>
      <c r="AD578" s="165"/>
      <c r="AE578" s="165"/>
      <c r="AF578" s="165"/>
      <c r="AG578" s="165"/>
    </row>
    <row r="579" spans="21:33">
      <c r="U579" s="165"/>
      <c r="V579" s="165"/>
      <c r="W579" s="165"/>
      <c r="X579" s="165"/>
      <c r="Y579" s="165"/>
      <c r="Z579" s="165"/>
      <c r="AA579" s="165"/>
      <c r="AB579" s="165"/>
      <c r="AC579" s="165"/>
      <c r="AD579" s="165"/>
      <c r="AE579" s="165"/>
      <c r="AF579" s="165"/>
      <c r="AG579" s="165"/>
    </row>
    <row r="580" spans="21:33">
      <c r="U580" s="165"/>
      <c r="V580" s="165"/>
      <c r="W580" s="165"/>
      <c r="X580" s="165"/>
      <c r="Y580" s="165"/>
      <c r="Z580" s="165"/>
      <c r="AA580" s="165"/>
      <c r="AB580" s="165"/>
      <c r="AC580" s="165"/>
      <c r="AD580" s="165"/>
      <c r="AE580" s="165"/>
      <c r="AF580" s="165"/>
      <c r="AG580" s="165"/>
    </row>
    <row r="581" spans="21:33">
      <c r="U581" s="165"/>
      <c r="V581" s="165"/>
      <c r="W581" s="165"/>
      <c r="X581" s="165"/>
      <c r="Y581" s="165"/>
      <c r="Z581" s="165"/>
      <c r="AA581" s="165"/>
      <c r="AB581" s="165"/>
      <c r="AC581" s="165"/>
      <c r="AD581" s="165"/>
      <c r="AE581" s="165"/>
      <c r="AF581" s="165"/>
      <c r="AG581" s="165"/>
    </row>
    <row r="582" spans="21:33">
      <c r="U582" s="165"/>
      <c r="V582" s="165"/>
      <c r="W582" s="165"/>
      <c r="X582" s="165"/>
      <c r="Y582" s="165"/>
      <c r="Z582" s="165"/>
      <c r="AA582" s="165"/>
      <c r="AB582" s="165"/>
      <c r="AC582" s="165"/>
      <c r="AD582" s="165"/>
      <c r="AE582" s="165"/>
      <c r="AF582" s="165"/>
      <c r="AG582" s="165"/>
    </row>
    <row r="583" spans="21:33">
      <c r="U583" s="165"/>
      <c r="V583" s="165"/>
      <c r="W583" s="165"/>
      <c r="X583" s="165"/>
      <c r="Y583" s="165"/>
      <c r="Z583" s="165"/>
      <c r="AA583" s="165"/>
      <c r="AB583" s="165"/>
      <c r="AC583" s="165"/>
      <c r="AD583" s="165"/>
      <c r="AE583" s="165"/>
      <c r="AF583" s="165"/>
      <c r="AG583" s="165"/>
    </row>
    <row r="584" spans="21:33">
      <c r="U584" s="165"/>
      <c r="V584" s="165"/>
      <c r="W584" s="165"/>
      <c r="X584" s="165"/>
      <c r="Y584" s="165"/>
      <c r="Z584" s="165"/>
      <c r="AA584" s="165"/>
      <c r="AB584" s="165"/>
      <c r="AC584" s="165"/>
      <c r="AD584" s="165"/>
      <c r="AE584" s="165"/>
      <c r="AF584" s="165"/>
      <c r="AG584" s="165"/>
    </row>
    <row r="585" spans="21:33">
      <c r="U585" s="165"/>
      <c r="V585" s="165"/>
      <c r="W585" s="165"/>
      <c r="X585" s="165"/>
      <c r="Y585" s="165"/>
      <c r="Z585" s="165"/>
      <c r="AA585" s="165"/>
      <c r="AB585" s="165"/>
      <c r="AC585" s="165"/>
      <c r="AD585" s="165"/>
      <c r="AE585" s="165"/>
      <c r="AF585" s="165"/>
      <c r="AG585" s="165"/>
    </row>
    <row r="586" spans="21:33">
      <c r="U586" s="165"/>
      <c r="V586" s="165"/>
      <c r="W586" s="165"/>
      <c r="X586" s="165"/>
      <c r="Y586" s="165"/>
      <c r="Z586" s="165"/>
      <c r="AA586" s="165"/>
      <c r="AB586" s="165"/>
      <c r="AC586" s="165"/>
      <c r="AD586" s="165"/>
      <c r="AE586" s="165"/>
      <c r="AF586" s="165"/>
      <c r="AG586" s="165"/>
    </row>
    <row r="587" spans="21:33">
      <c r="U587" s="165"/>
      <c r="V587" s="165"/>
      <c r="W587" s="165"/>
      <c r="X587" s="165"/>
      <c r="Y587" s="165"/>
      <c r="Z587" s="165"/>
      <c r="AA587" s="165"/>
      <c r="AB587" s="165"/>
      <c r="AC587" s="165"/>
      <c r="AD587" s="165"/>
      <c r="AE587" s="165"/>
      <c r="AF587" s="165"/>
      <c r="AG587" s="165"/>
    </row>
    <row r="588" spans="21:33">
      <c r="U588" s="165"/>
      <c r="V588" s="165"/>
      <c r="W588" s="165"/>
      <c r="X588" s="165"/>
      <c r="Y588" s="165"/>
      <c r="Z588" s="165"/>
      <c r="AA588" s="165"/>
      <c r="AB588" s="165"/>
      <c r="AC588" s="165"/>
      <c r="AD588" s="165"/>
      <c r="AE588" s="165"/>
      <c r="AF588" s="165"/>
      <c r="AG588" s="165"/>
    </row>
    <row r="589" spans="21:33">
      <c r="U589" s="165"/>
      <c r="V589" s="165"/>
      <c r="W589" s="165"/>
      <c r="X589" s="165"/>
      <c r="Y589" s="165"/>
      <c r="Z589" s="165"/>
      <c r="AA589" s="165"/>
      <c r="AB589" s="165"/>
      <c r="AC589" s="165"/>
      <c r="AD589" s="165"/>
      <c r="AE589" s="165"/>
      <c r="AF589" s="165"/>
      <c r="AG589" s="165"/>
    </row>
    <row r="590" spans="21:33">
      <c r="U590" s="165"/>
      <c r="V590" s="165"/>
      <c r="W590" s="165"/>
      <c r="X590" s="165"/>
      <c r="Y590" s="165"/>
      <c r="Z590" s="165"/>
      <c r="AA590" s="165"/>
      <c r="AB590" s="165"/>
      <c r="AC590" s="165"/>
      <c r="AD590" s="165"/>
      <c r="AE590" s="165"/>
      <c r="AF590" s="165"/>
      <c r="AG590" s="165"/>
    </row>
    <row r="591" spans="21:33">
      <c r="U591" s="165"/>
      <c r="V591" s="165"/>
      <c r="W591" s="165"/>
      <c r="X591" s="165"/>
      <c r="Y591" s="165"/>
      <c r="Z591" s="165"/>
      <c r="AA591" s="165"/>
      <c r="AB591" s="165"/>
      <c r="AC591" s="165"/>
      <c r="AD591" s="165"/>
      <c r="AE591" s="165"/>
      <c r="AF591" s="165"/>
      <c r="AG591" s="165"/>
    </row>
    <row r="592" spans="21:33">
      <c r="U592" s="165"/>
      <c r="V592" s="165"/>
      <c r="W592" s="165"/>
      <c r="X592" s="165"/>
      <c r="Y592" s="165"/>
      <c r="Z592" s="165"/>
      <c r="AA592" s="165"/>
      <c r="AB592" s="165"/>
      <c r="AC592" s="165"/>
      <c r="AD592" s="165"/>
      <c r="AE592" s="165"/>
      <c r="AF592" s="165"/>
      <c r="AG592" s="165"/>
    </row>
    <row r="593" spans="21:33">
      <c r="U593" s="165"/>
      <c r="V593" s="165"/>
      <c r="W593" s="165"/>
      <c r="X593" s="165"/>
      <c r="Y593" s="165"/>
      <c r="Z593" s="165"/>
      <c r="AA593" s="165"/>
      <c r="AB593" s="165"/>
      <c r="AC593" s="165"/>
      <c r="AD593" s="165"/>
      <c r="AE593" s="165"/>
      <c r="AF593" s="165"/>
      <c r="AG593" s="165"/>
    </row>
    <row r="594" spans="21:33">
      <c r="U594" s="165"/>
      <c r="V594" s="165"/>
      <c r="W594" s="165"/>
      <c r="X594" s="165"/>
      <c r="Y594" s="165"/>
      <c r="Z594" s="165"/>
      <c r="AA594" s="165"/>
      <c r="AB594" s="165"/>
      <c r="AC594" s="165"/>
      <c r="AD594" s="165"/>
      <c r="AE594" s="165"/>
      <c r="AF594" s="165"/>
      <c r="AG594" s="165"/>
    </row>
    <row r="595" spans="21:33">
      <c r="U595" s="165"/>
      <c r="V595" s="165"/>
      <c r="W595" s="165"/>
      <c r="X595" s="165"/>
      <c r="Y595" s="165"/>
      <c r="Z595" s="165"/>
      <c r="AA595" s="165"/>
      <c r="AB595" s="165"/>
      <c r="AC595" s="165"/>
      <c r="AD595" s="165"/>
      <c r="AE595" s="165"/>
      <c r="AF595" s="165"/>
      <c r="AG595" s="165"/>
    </row>
    <row r="596" spans="21:33">
      <c r="U596" s="165"/>
      <c r="V596" s="165"/>
      <c r="W596" s="165"/>
      <c r="X596" s="165"/>
      <c r="Y596" s="165"/>
      <c r="Z596" s="165"/>
      <c r="AA596" s="165"/>
      <c r="AB596" s="165"/>
      <c r="AC596" s="165"/>
      <c r="AD596" s="165"/>
      <c r="AE596" s="165"/>
      <c r="AF596" s="165"/>
      <c r="AG596" s="165"/>
    </row>
    <row r="597" spans="21:33">
      <c r="U597" s="165"/>
      <c r="V597" s="165"/>
      <c r="W597" s="165"/>
      <c r="X597" s="165"/>
      <c r="Y597" s="165"/>
      <c r="Z597" s="165"/>
      <c r="AA597" s="165"/>
      <c r="AB597" s="165"/>
      <c r="AC597" s="165"/>
      <c r="AD597" s="165"/>
      <c r="AE597" s="165"/>
      <c r="AF597" s="165"/>
      <c r="AG597" s="165"/>
    </row>
    <row r="598" spans="21:33">
      <c r="U598" s="165"/>
      <c r="V598" s="165"/>
      <c r="W598" s="165"/>
      <c r="X598" s="165"/>
      <c r="Y598" s="165"/>
      <c r="Z598" s="165"/>
      <c r="AA598" s="165"/>
      <c r="AB598" s="165"/>
      <c r="AC598" s="165"/>
      <c r="AD598" s="165"/>
      <c r="AE598" s="165"/>
      <c r="AF598" s="165"/>
      <c r="AG598" s="165"/>
    </row>
    <row r="599" spans="21:33">
      <c r="U599" s="165"/>
      <c r="V599" s="165"/>
      <c r="W599" s="165"/>
      <c r="X599" s="165"/>
      <c r="Y599" s="165"/>
      <c r="Z599" s="165"/>
      <c r="AA599" s="165"/>
      <c r="AB599" s="165"/>
      <c r="AC599" s="165"/>
      <c r="AD599" s="165"/>
      <c r="AE599" s="165"/>
      <c r="AF599" s="165"/>
      <c r="AG599" s="165"/>
    </row>
    <row r="600" spans="21:33">
      <c r="U600" s="165"/>
      <c r="V600" s="165"/>
      <c r="W600" s="165"/>
      <c r="X600" s="165"/>
      <c r="Y600" s="165"/>
      <c r="Z600" s="165"/>
      <c r="AA600" s="165"/>
      <c r="AB600" s="165"/>
      <c r="AC600" s="165"/>
      <c r="AD600" s="165"/>
      <c r="AE600" s="165"/>
      <c r="AF600" s="165"/>
      <c r="AG600" s="165"/>
    </row>
    <row r="601" spans="21:33">
      <c r="U601" s="165"/>
      <c r="V601" s="165"/>
      <c r="W601" s="165"/>
      <c r="X601" s="165"/>
      <c r="Y601" s="165"/>
      <c r="Z601" s="165"/>
      <c r="AA601" s="165"/>
      <c r="AB601" s="165"/>
      <c r="AC601" s="165"/>
      <c r="AD601" s="165"/>
      <c r="AE601" s="165"/>
      <c r="AF601" s="165"/>
      <c r="AG601" s="165"/>
    </row>
    <row r="602" spans="21:33">
      <c r="U602" s="165"/>
      <c r="V602" s="165"/>
      <c r="W602" s="165"/>
      <c r="X602" s="165"/>
      <c r="Y602" s="165"/>
      <c r="Z602" s="165"/>
      <c r="AA602" s="165"/>
      <c r="AB602" s="165"/>
      <c r="AC602" s="165"/>
      <c r="AD602" s="165"/>
      <c r="AE602" s="165"/>
      <c r="AF602" s="165"/>
      <c r="AG602" s="165"/>
    </row>
    <row r="603" spans="21:33">
      <c r="U603" s="165"/>
      <c r="V603" s="165"/>
      <c r="W603" s="165"/>
      <c r="X603" s="165"/>
      <c r="Y603" s="165"/>
      <c r="Z603" s="165"/>
      <c r="AA603" s="165"/>
      <c r="AB603" s="165"/>
      <c r="AC603" s="165"/>
      <c r="AD603" s="165"/>
      <c r="AE603" s="165"/>
      <c r="AF603" s="165"/>
      <c r="AG603" s="165"/>
    </row>
    <row r="604" spans="21:33">
      <c r="U604" s="165"/>
      <c r="V604" s="165"/>
      <c r="W604" s="165"/>
      <c r="X604" s="165"/>
      <c r="Y604" s="165"/>
      <c r="Z604" s="165"/>
      <c r="AA604" s="165"/>
      <c r="AB604" s="165"/>
      <c r="AC604" s="165"/>
      <c r="AD604" s="165"/>
      <c r="AE604" s="165"/>
      <c r="AF604" s="165"/>
      <c r="AG604" s="165"/>
    </row>
    <row r="605" spans="21:33">
      <c r="U605" s="165"/>
      <c r="V605" s="165"/>
      <c r="W605" s="165"/>
      <c r="X605" s="165"/>
      <c r="Y605" s="165"/>
      <c r="Z605" s="165"/>
      <c r="AA605" s="165"/>
      <c r="AB605" s="165"/>
      <c r="AC605" s="165"/>
      <c r="AD605" s="165"/>
      <c r="AE605" s="165"/>
      <c r="AF605" s="165"/>
      <c r="AG605" s="165"/>
    </row>
    <row r="606" spans="21:33">
      <c r="U606" s="165"/>
      <c r="V606" s="165"/>
      <c r="W606" s="165"/>
      <c r="X606" s="165"/>
      <c r="Y606" s="165"/>
      <c r="Z606" s="165"/>
      <c r="AA606" s="165"/>
      <c r="AB606" s="165"/>
      <c r="AC606" s="165"/>
      <c r="AD606" s="165"/>
      <c r="AE606" s="165"/>
      <c r="AF606" s="165"/>
      <c r="AG606" s="165"/>
    </row>
    <row r="607" spans="21:33">
      <c r="U607" s="165"/>
      <c r="V607" s="165"/>
      <c r="W607" s="165"/>
      <c r="X607" s="165"/>
      <c r="Y607" s="165"/>
      <c r="Z607" s="165"/>
      <c r="AA607" s="165"/>
      <c r="AB607" s="165"/>
      <c r="AC607" s="165"/>
      <c r="AD607" s="165"/>
      <c r="AE607" s="165"/>
      <c r="AF607" s="165"/>
      <c r="AG607" s="165"/>
    </row>
    <row r="608" spans="21:33">
      <c r="U608" s="165"/>
      <c r="V608" s="165"/>
      <c r="W608" s="165"/>
      <c r="X608" s="165"/>
      <c r="Y608" s="165"/>
      <c r="Z608" s="165"/>
      <c r="AA608" s="165"/>
      <c r="AB608" s="165"/>
      <c r="AC608" s="165"/>
      <c r="AD608" s="165"/>
      <c r="AE608" s="165"/>
      <c r="AF608" s="165"/>
      <c r="AG608" s="165"/>
    </row>
    <row r="609" spans="21:33">
      <c r="U609" s="165"/>
      <c r="V609" s="165"/>
      <c r="W609" s="165"/>
      <c r="X609" s="165"/>
      <c r="Y609" s="165"/>
      <c r="Z609" s="165"/>
      <c r="AA609" s="165"/>
      <c r="AB609" s="165"/>
      <c r="AC609" s="165"/>
      <c r="AD609" s="165"/>
      <c r="AE609" s="165"/>
      <c r="AF609" s="165"/>
      <c r="AG609" s="165"/>
    </row>
    <row r="610" spans="21:33">
      <c r="U610" s="165"/>
      <c r="V610" s="165"/>
      <c r="W610" s="165"/>
      <c r="X610" s="165"/>
      <c r="Y610" s="165"/>
      <c r="Z610" s="165"/>
      <c r="AA610" s="165"/>
      <c r="AB610" s="165"/>
      <c r="AC610" s="165"/>
      <c r="AD610" s="165"/>
      <c r="AE610" s="165"/>
      <c r="AF610" s="165"/>
      <c r="AG610" s="165"/>
    </row>
    <row r="611" spans="21:33">
      <c r="U611" s="165"/>
      <c r="V611" s="165"/>
      <c r="W611" s="165"/>
      <c r="X611" s="165"/>
      <c r="Y611" s="165"/>
      <c r="Z611" s="165"/>
      <c r="AA611" s="165"/>
      <c r="AB611" s="165"/>
      <c r="AC611" s="165"/>
      <c r="AD611" s="165"/>
      <c r="AE611" s="165"/>
      <c r="AF611" s="165"/>
      <c r="AG611" s="165"/>
    </row>
    <row r="612" spans="21:33">
      <c r="U612" s="165"/>
      <c r="V612" s="165"/>
      <c r="W612" s="165"/>
      <c r="X612" s="165"/>
      <c r="Y612" s="165"/>
      <c r="Z612" s="165"/>
      <c r="AA612" s="165"/>
      <c r="AB612" s="165"/>
      <c r="AC612" s="165"/>
      <c r="AD612" s="165"/>
      <c r="AE612" s="165"/>
      <c r="AF612" s="165"/>
      <c r="AG612" s="165"/>
    </row>
    <row r="613" spans="21:33">
      <c r="U613" s="165"/>
      <c r="V613" s="165"/>
      <c r="W613" s="165"/>
      <c r="X613" s="165"/>
      <c r="Y613" s="165"/>
      <c r="Z613" s="165"/>
      <c r="AA613" s="165"/>
      <c r="AB613" s="165"/>
      <c r="AC613" s="165"/>
      <c r="AD613" s="165"/>
      <c r="AE613" s="165"/>
      <c r="AF613" s="165"/>
      <c r="AG613" s="165"/>
    </row>
    <row r="614" spans="21:33">
      <c r="U614" s="165"/>
      <c r="V614" s="165"/>
      <c r="W614" s="165"/>
      <c r="X614" s="165"/>
      <c r="Y614" s="165"/>
      <c r="Z614" s="165"/>
      <c r="AA614" s="165"/>
      <c r="AB614" s="165"/>
      <c r="AC614" s="165"/>
      <c r="AD614" s="165"/>
      <c r="AE614" s="165"/>
      <c r="AF614" s="165"/>
      <c r="AG614" s="165"/>
    </row>
    <row r="615" spans="21:33">
      <c r="U615" s="165"/>
      <c r="V615" s="165"/>
      <c r="W615" s="165"/>
      <c r="X615" s="165"/>
      <c r="Y615" s="165"/>
      <c r="Z615" s="165"/>
      <c r="AA615" s="165"/>
      <c r="AB615" s="165"/>
      <c r="AC615" s="165"/>
      <c r="AD615" s="165"/>
      <c r="AE615" s="165"/>
      <c r="AF615" s="165"/>
      <c r="AG615" s="165"/>
    </row>
    <row r="616" spans="21:33">
      <c r="U616" s="165"/>
      <c r="V616" s="165"/>
      <c r="W616" s="165"/>
      <c r="X616" s="165"/>
      <c r="Y616" s="165"/>
      <c r="Z616" s="165"/>
      <c r="AA616" s="165"/>
      <c r="AB616" s="165"/>
      <c r="AC616" s="165"/>
      <c r="AD616" s="165"/>
      <c r="AE616" s="165"/>
      <c r="AF616" s="165"/>
      <c r="AG616" s="165"/>
    </row>
    <row r="617" spans="21:33">
      <c r="U617" s="165"/>
      <c r="V617" s="165"/>
      <c r="W617" s="165"/>
      <c r="X617" s="165"/>
      <c r="Y617" s="165"/>
      <c r="Z617" s="165"/>
      <c r="AA617" s="165"/>
      <c r="AB617" s="165"/>
      <c r="AC617" s="165"/>
      <c r="AD617" s="165"/>
      <c r="AE617" s="165"/>
      <c r="AF617" s="165"/>
      <c r="AG617" s="165"/>
    </row>
    <row r="618" spans="21:33">
      <c r="U618" s="165"/>
      <c r="V618" s="165"/>
      <c r="W618" s="165"/>
      <c r="X618" s="165"/>
      <c r="Y618" s="165"/>
      <c r="Z618" s="165"/>
      <c r="AA618" s="165"/>
      <c r="AB618" s="165"/>
      <c r="AC618" s="165"/>
      <c r="AD618" s="165"/>
      <c r="AE618" s="165"/>
      <c r="AF618" s="165"/>
      <c r="AG618" s="165"/>
    </row>
    <row r="619" spans="21:33">
      <c r="U619" s="165"/>
      <c r="V619" s="165"/>
      <c r="W619" s="165"/>
      <c r="X619" s="165"/>
      <c r="Y619" s="165"/>
      <c r="Z619" s="165"/>
      <c r="AA619" s="165"/>
      <c r="AB619" s="165"/>
      <c r="AC619" s="165"/>
      <c r="AD619" s="165"/>
      <c r="AE619" s="165"/>
      <c r="AF619" s="165"/>
      <c r="AG619" s="165"/>
    </row>
    <row r="620" spans="21:33">
      <c r="U620" s="165"/>
      <c r="V620" s="165"/>
      <c r="W620" s="165"/>
      <c r="X620" s="165"/>
      <c r="Y620" s="165"/>
      <c r="Z620" s="165"/>
      <c r="AA620" s="165"/>
      <c r="AB620" s="165"/>
      <c r="AC620" s="165"/>
      <c r="AD620" s="165"/>
      <c r="AE620" s="165"/>
      <c r="AF620" s="165"/>
      <c r="AG620" s="165"/>
    </row>
    <row r="621" spans="21:33">
      <c r="U621" s="165"/>
      <c r="V621" s="165"/>
      <c r="W621" s="165"/>
      <c r="X621" s="165"/>
      <c r="Y621" s="165"/>
      <c r="Z621" s="165"/>
      <c r="AA621" s="165"/>
      <c r="AB621" s="165"/>
      <c r="AC621" s="165"/>
      <c r="AD621" s="165"/>
      <c r="AE621" s="165"/>
      <c r="AF621" s="165"/>
      <c r="AG621" s="165"/>
    </row>
    <row r="622" spans="21:33">
      <c r="U622" s="165"/>
      <c r="V622" s="165"/>
      <c r="W622" s="165"/>
      <c r="X622" s="165"/>
      <c r="Y622" s="165"/>
      <c r="Z622" s="165"/>
      <c r="AA622" s="165"/>
      <c r="AB622" s="165"/>
      <c r="AC622" s="165"/>
      <c r="AD622" s="165"/>
      <c r="AE622" s="165"/>
      <c r="AF622" s="165"/>
      <c r="AG622" s="165"/>
    </row>
    <row r="623" spans="21:33">
      <c r="U623" s="165"/>
      <c r="V623" s="165"/>
      <c r="W623" s="165"/>
      <c r="X623" s="165"/>
      <c r="Y623" s="165"/>
      <c r="Z623" s="165"/>
      <c r="AA623" s="165"/>
      <c r="AB623" s="165"/>
      <c r="AC623" s="165"/>
      <c r="AD623" s="165"/>
      <c r="AE623" s="165"/>
      <c r="AF623" s="165"/>
      <c r="AG623" s="165"/>
    </row>
    <row r="624" spans="21:33">
      <c r="U624" s="165"/>
      <c r="V624" s="165"/>
      <c r="W624" s="165"/>
      <c r="X624" s="165"/>
      <c r="Y624" s="165"/>
      <c r="Z624" s="165"/>
      <c r="AA624" s="165"/>
      <c r="AB624" s="165"/>
      <c r="AC624" s="165"/>
      <c r="AD624" s="165"/>
      <c r="AE624" s="165"/>
      <c r="AF624" s="165"/>
      <c r="AG624" s="165"/>
    </row>
    <row r="625" spans="21:33">
      <c r="U625" s="165"/>
      <c r="V625" s="165"/>
      <c r="W625" s="165"/>
      <c r="X625" s="165"/>
      <c r="Y625" s="165"/>
      <c r="Z625" s="165"/>
      <c r="AA625" s="165"/>
      <c r="AB625" s="165"/>
      <c r="AC625" s="165"/>
      <c r="AD625" s="165"/>
      <c r="AE625" s="165"/>
      <c r="AF625" s="165"/>
      <c r="AG625" s="165"/>
    </row>
    <row r="626" spans="21:33">
      <c r="U626" s="165"/>
      <c r="V626" s="165"/>
      <c r="W626" s="165"/>
      <c r="X626" s="165"/>
      <c r="Y626" s="165"/>
      <c r="Z626" s="165"/>
      <c r="AA626" s="165"/>
      <c r="AB626" s="165"/>
      <c r="AC626" s="165"/>
      <c r="AD626" s="165"/>
      <c r="AE626" s="165"/>
      <c r="AF626" s="165"/>
      <c r="AG626" s="165"/>
    </row>
    <row r="627" spans="21:33">
      <c r="U627" s="165"/>
      <c r="V627" s="165"/>
      <c r="W627" s="165"/>
      <c r="X627" s="165"/>
      <c r="Y627" s="165"/>
      <c r="Z627" s="165"/>
      <c r="AA627" s="165"/>
      <c r="AB627" s="165"/>
      <c r="AC627" s="165"/>
      <c r="AD627" s="165"/>
      <c r="AE627" s="165"/>
      <c r="AF627" s="165"/>
      <c r="AG627" s="165"/>
    </row>
    <row r="628" spans="21:33">
      <c r="U628" s="165"/>
      <c r="V628" s="165"/>
      <c r="W628" s="165"/>
      <c r="X628" s="165"/>
      <c r="Y628" s="165"/>
      <c r="Z628" s="165"/>
      <c r="AA628" s="165"/>
      <c r="AB628" s="165"/>
      <c r="AC628" s="165"/>
      <c r="AD628" s="165"/>
      <c r="AE628" s="165"/>
      <c r="AF628" s="165"/>
      <c r="AG628" s="165"/>
    </row>
    <row r="629" spans="21:33">
      <c r="U629" s="165"/>
      <c r="V629" s="165"/>
      <c r="W629" s="165"/>
      <c r="X629" s="165"/>
      <c r="Y629" s="165"/>
      <c r="Z629" s="165"/>
      <c r="AA629" s="165"/>
      <c r="AB629" s="165"/>
      <c r="AC629" s="165"/>
      <c r="AD629" s="165"/>
      <c r="AE629" s="165"/>
      <c r="AF629" s="165"/>
      <c r="AG629" s="165"/>
    </row>
    <row r="630" spans="21:33">
      <c r="U630" s="165"/>
      <c r="V630" s="165"/>
      <c r="W630" s="165"/>
      <c r="X630" s="165"/>
      <c r="Y630" s="165"/>
      <c r="Z630" s="165"/>
      <c r="AA630" s="165"/>
      <c r="AB630" s="165"/>
      <c r="AC630" s="165"/>
      <c r="AD630" s="165"/>
      <c r="AE630" s="165"/>
      <c r="AF630" s="165"/>
      <c r="AG630" s="165"/>
    </row>
    <row r="631" spans="21:33">
      <c r="U631" s="165"/>
      <c r="V631" s="165"/>
      <c r="W631" s="165"/>
      <c r="X631" s="165"/>
      <c r="Y631" s="165"/>
      <c r="Z631" s="165"/>
      <c r="AA631" s="165"/>
      <c r="AB631" s="165"/>
      <c r="AC631" s="165"/>
      <c r="AD631" s="165"/>
      <c r="AE631" s="165"/>
      <c r="AF631" s="165"/>
      <c r="AG631" s="165"/>
    </row>
    <row r="632" spans="21:33">
      <c r="U632" s="165"/>
      <c r="V632" s="165"/>
      <c r="W632" s="165"/>
      <c r="X632" s="165"/>
      <c r="Y632" s="165"/>
      <c r="Z632" s="165"/>
      <c r="AA632" s="165"/>
      <c r="AB632" s="165"/>
      <c r="AC632" s="165"/>
      <c r="AD632" s="165"/>
      <c r="AE632" s="165"/>
      <c r="AF632" s="165"/>
      <c r="AG632" s="165"/>
    </row>
    <row r="633" spans="21:33">
      <c r="U633" s="165"/>
      <c r="V633" s="165"/>
      <c r="W633" s="165"/>
      <c r="X633" s="165"/>
      <c r="Y633" s="165"/>
      <c r="Z633" s="165"/>
      <c r="AA633" s="165"/>
      <c r="AB633" s="165"/>
      <c r="AC633" s="165"/>
      <c r="AD633" s="165"/>
      <c r="AE633" s="165"/>
      <c r="AF633" s="165"/>
      <c r="AG633" s="165"/>
    </row>
    <row r="634" spans="21:33">
      <c r="U634" s="165"/>
      <c r="V634" s="165"/>
      <c r="W634" s="165"/>
      <c r="X634" s="165"/>
      <c r="Y634" s="165"/>
      <c r="Z634" s="165"/>
      <c r="AA634" s="165"/>
      <c r="AB634" s="165"/>
      <c r="AC634" s="165"/>
      <c r="AD634" s="165"/>
      <c r="AE634" s="165"/>
      <c r="AF634" s="165"/>
      <c r="AG634" s="165"/>
    </row>
    <row r="635" spans="21:33">
      <c r="U635" s="165"/>
      <c r="V635" s="165"/>
      <c r="W635" s="165"/>
      <c r="X635" s="165"/>
      <c r="Y635" s="165"/>
      <c r="Z635" s="165"/>
      <c r="AA635" s="165"/>
      <c r="AB635" s="165"/>
      <c r="AC635" s="165"/>
      <c r="AD635" s="165"/>
      <c r="AE635" s="165"/>
      <c r="AF635" s="165"/>
      <c r="AG635" s="165"/>
    </row>
    <row r="636" spans="21:33">
      <c r="U636" s="165"/>
      <c r="V636" s="165"/>
      <c r="W636" s="165"/>
      <c r="X636" s="165"/>
      <c r="Y636" s="165"/>
      <c r="Z636" s="165"/>
      <c r="AA636" s="165"/>
      <c r="AB636" s="165"/>
      <c r="AC636" s="165"/>
      <c r="AD636" s="165"/>
      <c r="AE636" s="165"/>
      <c r="AF636" s="165"/>
      <c r="AG636" s="165"/>
    </row>
    <row r="637" spans="21:33">
      <c r="U637" s="165"/>
      <c r="V637" s="165"/>
      <c r="W637" s="165"/>
      <c r="X637" s="165"/>
      <c r="Y637" s="165"/>
      <c r="Z637" s="165"/>
      <c r="AA637" s="165"/>
      <c r="AB637" s="165"/>
      <c r="AC637" s="165"/>
      <c r="AD637" s="165"/>
      <c r="AE637" s="165"/>
      <c r="AF637" s="165"/>
      <c r="AG637" s="165"/>
    </row>
    <row r="638" spans="21:33">
      <c r="U638" s="165"/>
      <c r="V638" s="165"/>
      <c r="W638" s="165"/>
      <c r="X638" s="165"/>
      <c r="Y638" s="165"/>
      <c r="Z638" s="165"/>
      <c r="AA638" s="165"/>
      <c r="AB638" s="165"/>
      <c r="AC638" s="165"/>
      <c r="AD638" s="165"/>
      <c r="AE638" s="165"/>
      <c r="AF638" s="165"/>
      <c r="AG638" s="165"/>
    </row>
    <row r="639" spans="21:33">
      <c r="U639" s="165"/>
      <c r="V639" s="165"/>
      <c r="W639" s="165"/>
      <c r="X639" s="165"/>
      <c r="Y639" s="165"/>
      <c r="Z639" s="165"/>
      <c r="AA639" s="165"/>
      <c r="AB639" s="165"/>
      <c r="AC639" s="165"/>
      <c r="AD639" s="165"/>
      <c r="AE639" s="165"/>
      <c r="AF639" s="165"/>
      <c r="AG639" s="165"/>
    </row>
    <row r="640" spans="21:33">
      <c r="U640" s="165"/>
      <c r="V640" s="165"/>
      <c r="W640" s="165"/>
      <c r="X640" s="165"/>
      <c r="Y640" s="165"/>
      <c r="Z640" s="165"/>
      <c r="AA640" s="165"/>
      <c r="AB640" s="165"/>
      <c r="AC640" s="165"/>
      <c r="AD640" s="165"/>
      <c r="AE640" s="165"/>
      <c r="AF640" s="165"/>
      <c r="AG640" s="165"/>
    </row>
    <row r="641" spans="21:33">
      <c r="U641" s="165"/>
      <c r="V641" s="165"/>
      <c r="W641" s="165"/>
      <c r="X641" s="165"/>
      <c r="Y641" s="165"/>
      <c r="Z641" s="165"/>
      <c r="AA641" s="165"/>
      <c r="AB641" s="165"/>
      <c r="AC641" s="165"/>
      <c r="AD641" s="165"/>
      <c r="AE641" s="165"/>
      <c r="AF641" s="165"/>
      <c r="AG641" s="165"/>
    </row>
    <row r="642" spans="21:33">
      <c r="U642" s="165"/>
      <c r="V642" s="165"/>
      <c r="W642" s="165"/>
      <c r="X642" s="165"/>
      <c r="Y642" s="165"/>
      <c r="Z642" s="165"/>
      <c r="AA642" s="165"/>
      <c r="AB642" s="165"/>
      <c r="AC642" s="165"/>
      <c r="AD642" s="165"/>
      <c r="AE642" s="165"/>
      <c r="AF642" s="165"/>
      <c r="AG642" s="165"/>
    </row>
    <row r="643" spans="21:33">
      <c r="U643" s="165"/>
      <c r="V643" s="165"/>
      <c r="W643" s="165"/>
      <c r="X643" s="165"/>
      <c r="Y643" s="165"/>
      <c r="Z643" s="165"/>
      <c r="AA643" s="165"/>
      <c r="AB643" s="165"/>
      <c r="AC643" s="165"/>
      <c r="AD643" s="165"/>
      <c r="AE643" s="165"/>
      <c r="AF643" s="165"/>
      <c r="AG643" s="165"/>
    </row>
    <row r="644" spans="21:33">
      <c r="U644" s="165"/>
      <c r="V644" s="165"/>
      <c r="W644" s="165"/>
      <c r="X644" s="165"/>
      <c r="Y644" s="165"/>
      <c r="Z644" s="165"/>
      <c r="AA644" s="165"/>
      <c r="AB644" s="165"/>
      <c r="AC644" s="165"/>
      <c r="AD644" s="165"/>
      <c r="AE644" s="165"/>
      <c r="AF644" s="165"/>
      <c r="AG644" s="165"/>
    </row>
    <row r="645" spans="21:33">
      <c r="U645" s="165"/>
      <c r="V645" s="165"/>
      <c r="W645" s="165"/>
      <c r="X645" s="165"/>
      <c r="Y645" s="165"/>
      <c r="Z645" s="165"/>
      <c r="AA645" s="165"/>
      <c r="AB645" s="165"/>
      <c r="AC645" s="165"/>
      <c r="AD645" s="165"/>
      <c r="AE645" s="165"/>
      <c r="AF645" s="165"/>
      <c r="AG645" s="165"/>
    </row>
    <row r="646" spans="21:33">
      <c r="U646" s="165"/>
      <c r="V646" s="165"/>
      <c r="W646" s="165"/>
      <c r="X646" s="165"/>
      <c r="Y646" s="165"/>
      <c r="Z646" s="165"/>
      <c r="AA646" s="165"/>
      <c r="AB646" s="165"/>
      <c r="AC646" s="165"/>
      <c r="AD646" s="165"/>
      <c r="AE646" s="165"/>
      <c r="AF646" s="165"/>
      <c r="AG646" s="165"/>
    </row>
    <row r="647" spans="21:33">
      <c r="U647" s="165"/>
      <c r="V647" s="165"/>
      <c r="W647" s="165"/>
      <c r="X647" s="165"/>
      <c r="Y647" s="165"/>
      <c r="Z647" s="165"/>
      <c r="AA647" s="165"/>
      <c r="AB647" s="165"/>
      <c r="AC647" s="165"/>
      <c r="AD647" s="165"/>
      <c r="AE647" s="165"/>
      <c r="AF647" s="165"/>
      <c r="AG647" s="165"/>
    </row>
    <row r="648" spans="21:33">
      <c r="U648" s="165"/>
      <c r="V648" s="165"/>
      <c r="W648" s="165"/>
      <c r="X648" s="165"/>
      <c r="Y648" s="165"/>
      <c r="Z648" s="165"/>
      <c r="AA648" s="165"/>
      <c r="AB648" s="165"/>
      <c r="AC648" s="165"/>
      <c r="AD648" s="165"/>
      <c r="AE648" s="165"/>
      <c r="AF648" s="165"/>
      <c r="AG648" s="165"/>
    </row>
    <row r="649" spans="21:33">
      <c r="U649" s="165"/>
      <c r="V649" s="165"/>
      <c r="W649" s="165"/>
      <c r="X649" s="165"/>
      <c r="Y649" s="165"/>
      <c r="Z649" s="165"/>
      <c r="AA649" s="165"/>
      <c r="AB649" s="165"/>
      <c r="AC649" s="165"/>
      <c r="AD649" s="165"/>
      <c r="AE649" s="165"/>
      <c r="AF649" s="165"/>
      <c r="AG649" s="165"/>
    </row>
    <row r="650" spans="21:33">
      <c r="U650" s="165"/>
      <c r="V650" s="165"/>
      <c r="W650" s="165"/>
      <c r="X650" s="165"/>
      <c r="Y650" s="165"/>
      <c r="Z650" s="165"/>
      <c r="AA650" s="165"/>
      <c r="AB650" s="165"/>
      <c r="AC650" s="165"/>
      <c r="AD650" s="165"/>
      <c r="AE650" s="165"/>
      <c r="AF650" s="165"/>
      <c r="AG650" s="165"/>
    </row>
    <row r="651" spans="21:33">
      <c r="U651" s="165"/>
      <c r="V651" s="165"/>
      <c r="W651" s="165"/>
      <c r="X651" s="165"/>
      <c r="Y651" s="165"/>
      <c r="Z651" s="165"/>
      <c r="AA651" s="165"/>
      <c r="AB651" s="165"/>
      <c r="AC651" s="165"/>
      <c r="AD651" s="165"/>
      <c r="AE651" s="165"/>
      <c r="AF651" s="165"/>
      <c r="AG651" s="165"/>
    </row>
    <row r="652" spans="21:33">
      <c r="U652" s="165"/>
      <c r="V652" s="165"/>
      <c r="W652" s="165"/>
      <c r="X652" s="165"/>
      <c r="Y652" s="165"/>
      <c r="Z652" s="165"/>
      <c r="AA652" s="165"/>
      <c r="AB652" s="165"/>
      <c r="AC652" s="165"/>
      <c r="AD652" s="165"/>
      <c r="AE652" s="165"/>
      <c r="AF652" s="165"/>
      <c r="AG652" s="165"/>
    </row>
    <row r="653" spans="21:33">
      <c r="U653" s="165"/>
      <c r="V653" s="165"/>
      <c r="W653" s="165"/>
      <c r="X653" s="165"/>
      <c r="Y653" s="165"/>
      <c r="Z653" s="165"/>
      <c r="AA653" s="165"/>
      <c r="AB653" s="165"/>
      <c r="AC653" s="165"/>
      <c r="AD653" s="165"/>
      <c r="AE653" s="165"/>
      <c r="AF653" s="165"/>
      <c r="AG653" s="165"/>
    </row>
    <row r="654" spans="21:33">
      <c r="U654" s="165"/>
      <c r="V654" s="165"/>
      <c r="W654" s="165"/>
      <c r="X654" s="165"/>
      <c r="Y654" s="165"/>
      <c r="Z654" s="165"/>
      <c r="AA654" s="165"/>
      <c r="AB654" s="165"/>
      <c r="AC654" s="165"/>
      <c r="AD654" s="165"/>
      <c r="AE654" s="165"/>
      <c r="AF654" s="165"/>
      <c r="AG654" s="165"/>
    </row>
    <row r="655" spans="21:33">
      <c r="U655" s="165"/>
      <c r="V655" s="165"/>
      <c r="W655" s="165"/>
      <c r="X655" s="165"/>
      <c r="Y655" s="165"/>
      <c r="Z655" s="165"/>
      <c r="AA655" s="165"/>
      <c r="AB655" s="165"/>
      <c r="AC655" s="165"/>
      <c r="AD655" s="165"/>
      <c r="AE655" s="165"/>
      <c r="AF655" s="165"/>
      <c r="AG655" s="165"/>
    </row>
    <row r="656" spans="21:33">
      <c r="U656" s="165"/>
      <c r="V656" s="165"/>
      <c r="W656" s="165"/>
      <c r="X656" s="165"/>
      <c r="Y656" s="165"/>
      <c r="Z656" s="165"/>
      <c r="AA656" s="165"/>
      <c r="AB656" s="165"/>
      <c r="AC656" s="165"/>
      <c r="AD656" s="165"/>
      <c r="AE656" s="165"/>
      <c r="AF656" s="165"/>
      <c r="AG656" s="165"/>
    </row>
    <row r="657" spans="21:33">
      <c r="U657" s="165"/>
      <c r="V657" s="165"/>
      <c r="W657" s="165"/>
      <c r="X657" s="165"/>
      <c r="Y657" s="165"/>
      <c r="Z657" s="165"/>
      <c r="AA657" s="165"/>
      <c r="AB657" s="165"/>
      <c r="AC657" s="165"/>
      <c r="AD657" s="165"/>
      <c r="AE657" s="165"/>
      <c r="AF657" s="165"/>
      <c r="AG657" s="165"/>
    </row>
    <row r="658" spans="21:33">
      <c r="U658" s="165"/>
      <c r="V658" s="165"/>
      <c r="W658" s="165"/>
      <c r="X658" s="165"/>
      <c r="Y658" s="165"/>
      <c r="Z658" s="165"/>
      <c r="AA658" s="165"/>
      <c r="AB658" s="165"/>
      <c r="AC658" s="165"/>
      <c r="AD658" s="165"/>
      <c r="AE658" s="165"/>
      <c r="AF658" s="165"/>
      <c r="AG658" s="165"/>
    </row>
    <row r="659" spans="21:33">
      <c r="U659" s="165"/>
      <c r="V659" s="165"/>
      <c r="W659" s="165"/>
      <c r="X659" s="165"/>
      <c r="Y659" s="165"/>
      <c r="Z659" s="165"/>
      <c r="AA659" s="165"/>
      <c r="AB659" s="165"/>
      <c r="AC659" s="165"/>
      <c r="AD659" s="165"/>
      <c r="AE659" s="165"/>
      <c r="AF659" s="165"/>
      <c r="AG659" s="165"/>
    </row>
    <row r="660" spans="21:33">
      <c r="U660" s="165"/>
      <c r="V660" s="165"/>
      <c r="W660" s="165"/>
      <c r="X660" s="165"/>
      <c r="Y660" s="165"/>
      <c r="Z660" s="165"/>
      <c r="AA660" s="165"/>
      <c r="AB660" s="165"/>
      <c r="AC660" s="165"/>
      <c r="AD660" s="165"/>
      <c r="AE660" s="165"/>
      <c r="AF660" s="165"/>
      <c r="AG660" s="165"/>
    </row>
    <row r="661" spans="21:33">
      <c r="U661" s="165"/>
      <c r="V661" s="165"/>
      <c r="W661" s="165"/>
      <c r="X661" s="165"/>
      <c r="Y661" s="165"/>
      <c r="Z661" s="165"/>
      <c r="AA661" s="165"/>
      <c r="AB661" s="165"/>
      <c r="AC661" s="165"/>
      <c r="AD661" s="165"/>
      <c r="AE661" s="165"/>
      <c r="AF661" s="165"/>
      <c r="AG661" s="165"/>
    </row>
    <row r="662" spans="21:33">
      <c r="U662" s="165"/>
      <c r="V662" s="165"/>
      <c r="W662" s="165"/>
      <c r="X662" s="165"/>
      <c r="Y662" s="165"/>
      <c r="Z662" s="165"/>
      <c r="AA662" s="165"/>
      <c r="AB662" s="165"/>
      <c r="AC662" s="165"/>
      <c r="AD662" s="165"/>
      <c r="AE662" s="165"/>
      <c r="AF662" s="165"/>
      <c r="AG662" s="165"/>
    </row>
    <row r="663" spans="21:33">
      <c r="U663" s="165"/>
      <c r="V663" s="165"/>
      <c r="W663" s="165"/>
      <c r="X663" s="165"/>
      <c r="Y663" s="165"/>
      <c r="Z663" s="165"/>
      <c r="AA663" s="165"/>
      <c r="AB663" s="165"/>
      <c r="AC663" s="165"/>
      <c r="AD663" s="165"/>
      <c r="AE663" s="165"/>
      <c r="AF663" s="165"/>
      <c r="AG663" s="165"/>
    </row>
    <row r="664" spans="21:33">
      <c r="U664" s="165"/>
      <c r="V664" s="165"/>
      <c r="W664" s="165"/>
      <c r="X664" s="165"/>
      <c r="Y664" s="165"/>
      <c r="Z664" s="165"/>
      <c r="AA664" s="165"/>
      <c r="AB664" s="165"/>
      <c r="AC664" s="165"/>
      <c r="AD664" s="165"/>
      <c r="AE664" s="165"/>
      <c r="AF664" s="165"/>
      <c r="AG664" s="165"/>
    </row>
    <row r="665" spans="21:33">
      <c r="U665" s="165"/>
      <c r="V665" s="165"/>
      <c r="W665" s="165"/>
      <c r="X665" s="165"/>
      <c r="Y665" s="165"/>
      <c r="Z665" s="165"/>
      <c r="AA665" s="165"/>
      <c r="AB665" s="165"/>
      <c r="AC665" s="165"/>
      <c r="AD665" s="165"/>
      <c r="AE665" s="165"/>
      <c r="AF665" s="165"/>
      <c r="AG665" s="165"/>
    </row>
    <row r="666" spans="21:33">
      <c r="U666" s="165"/>
      <c r="V666" s="165"/>
      <c r="W666" s="165"/>
      <c r="X666" s="165"/>
      <c r="Y666" s="165"/>
      <c r="Z666" s="165"/>
      <c r="AA666" s="165"/>
      <c r="AB666" s="165"/>
      <c r="AC666" s="165"/>
      <c r="AD666" s="165"/>
      <c r="AE666" s="165"/>
      <c r="AF666" s="165"/>
      <c r="AG666" s="165"/>
    </row>
    <row r="667" spans="21:33">
      <c r="U667" s="165"/>
      <c r="V667" s="165"/>
      <c r="W667" s="165"/>
      <c r="X667" s="165"/>
      <c r="Y667" s="165"/>
      <c r="Z667" s="165"/>
      <c r="AA667" s="165"/>
      <c r="AB667" s="165"/>
      <c r="AC667" s="165"/>
      <c r="AD667" s="165"/>
      <c r="AE667" s="165"/>
      <c r="AF667" s="165"/>
      <c r="AG667" s="165"/>
    </row>
    <row r="668" spans="21:33">
      <c r="U668" s="165"/>
      <c r="V668" s="165"/>
      <c r="W668" s="165"/>
      <c r="X668" s="165"/>
      <c r="Y668" s="165"/>
      <c r="Z668" s="165"/>
      <c r="AA668" s="165"/>
      <c r="AB668" s="165"/>
      <c r="AC668" s="165"/>
      <c r="AD668" s="165"/>
      <c r="AE668" s="165"/>
      <c r="AF668" s="165"/>
      <c r="AG668" s="165"/>
    </row>
    <row r="669" spans="21:33">
      <c r="U669" s="165"/>
      <c r="V669" s="165"/>
      <c r="W669" s="165"/>
      <c r="X669" s="165"/>
      <c r="Y669" s="165"/>
      <c r="Z669" s="165"/>
      <c r="AA669" s="165"/>
      <c r="AB669" s="165"/>
      <c r="AC669" s="165"/>
      <c r="AD669" s="165"/>
      <c r="AE669" s="165"/>
      <c r="AF669" s="165"/>
      <c r="AG669" s="165"/>
    </row>
    <row r="670" spans="21:33">
      <c r="U670" s="165"/>
      <c r="V670" s="165"/>
      <c r="W670" s="165"/>
      <c r="X670" s="165"/>
      <c r="Y670" s="165"/>
      <c r="Z670" s="165"/>
      <c r="AA670" s="165"/>
      <c r="AB670" s="165"/>
      <c r="AC670" s="165"/>
      <c r="AD670" s="165"/>
      <c r="AE670" s="165"/>
      <c r="AF670" s="165"/>
      <c r="AG670" s="165"/>
    </row>
    <row r="671" spans="21:33">
      <c r="U671" s="165"/>
      <c r="V671" s="165"/>
      <c r="W671" s="165"/>
      <c r="X671" s="165"/>
      <c r="Y671" s="165"/>
      <c r="Z671" s="165"/>
      <c r="AA671" s="165"/>
      <c r="AB671" s="165"/>
      <c r="AC671" s="165"/>
      <c r="AD671" s="165"/>
      <c r="AE671" s="165"/>
      <c r="AF671" s="165"/>
      <c r="AG671" s="165"/>
    </row>
    <row r="672" spans="21:33">
      <c r="U672" s="165"/>
      <c r="V672" s="165"/>
      <c r="W672" s="165"/>
      <c r="X672" s="165"/>
      <c r="Y672" s="165"/>
      <c r="Z672" s="165"/>
      <c r="AA672" s="165"/>
      <c r="AB672" s="165"/>
      <c r="AC672" s="165"/>
      <c r="AD672" s="165"/>
      <c r="AE672" s="165"/>
      <c r="AF672" s="165"/>
      <c r="AG672" s="165"/>
    </row>
    <row r="673" spans="21:33">
      <c r="U673" s="165"/>
      <c r="V673" s="165"/>
      <c r="W673" s="165"/>
      <c r="X673" s="165"/>
      <c r="Y673" s="165"/>
      <c r="Z673" s="165"/>
      <c r="AA673" s="165"/>
      <c r="AB673" s="165"/>
      <c r="AC673" s="165"/>
      <c r="AD673" s="165"/>
      <c r="AE673" s="165"/>
      <c r="AF673" s="165"/>
      <c r="AG673" s="165"/>
    </row>
    <row r="674" spans="21:33">
      <c r="U674" s="165"/>
      <c r="V674" s="165"/>
      <c r="W674" s="165"/>
      <c r="X674" s="165"/>
      <c r="Y674" s="165"/>
      <c r="Z674" s="165"/>
      <c r="AA674" s="165"/>
      <c r="AB674" s="165"/>
      <c r="AC674" s="165"/>
      <c r="AD674" s="165"/>
      <c r="AE674" s="165"/>
      <c r="AF674" s="165"/>
      <c r="AG674" s="165"/>
    </row>
    <row r="675" spans="21:33">
      <c r="U675" s="165"/>
      <c r="V675" s="165"/>
      <c r="W675" s="165"/>
      <c r="X675" s="165"/>
      <c r="Y675" s="165"/>
      <c r="Z675" s="165"/>
      <c r="AA675" s="165"/>
      <c r="AB675" s="165"/>
      <c r="AC675" s="165"/>
      <c r="AD675" s="165"/>
      <c r="AE675" s="165"/>
      <c r="AF675" s="165"/>
      <c r="AG675" s="165"/>
    </row>
    <row r="676" spans="21:33">
      <c r="U676" s="165"/>
      <c r="V676" s="165"/>
      <c r="W676" s="165"/>
      <c r="X676" s="165"/>
      <c r="Y676" s="165"/>
      <c r="Z676" s="165"/>
      <c r="AA676" s="165"/>
      <c r="AB676" s="165"/>
      <c r="AC676" s="165"/>
      <c r="AD676" s="165"/>
      <c r="AE676" s="165"/>
      <c r="AF676" s="165"/>
      <c r="AG676" s="165"/>
    </row>
    <row r="677" spans="21:33">
      <c r="U677" s="165"/>
      <c r="V677" s="165"/>
      <c r="W677" s="165"/>
      <c r="X677" s="165"/>
      <c r="Y677" s="165"/>
      <c r="Z677" s="165"/>
      <c r="AA677" s="165"/>
      <c r="AB677" s="165"/>
      <c r="AC677" s="165"/>
      <c r="AD677" s="165"/>
      <c r="AE677" s="165"/>
      <c r="AF677" s="165"/>
      <c r="AG677" s="165"/>
    </row>
    <row r="678" spans="21:33">
      <c r="U678" s="165"/>
      <c r="V678" s="165"/>
      <c r="W678" s="165"/>
      <c r="X678" s="165"/>
      <c r="Y678" s="165"/>
      <c r="Z678" s="165"/>
      <c r="AA678" s="165"/>
      <c r="AB678" s="165"/>
      <c r="AC678" s="165"/>
      <c r="AD678" s="165"/>
      <c r="AE678" s="165"/>
      <c r="AF678" s="165"/>
      <c r="AG678" s="165"/>
    </row>
    <row r="679" spans="21:33">
      <c r="U679" s="165"/>
      <c r="V679" s="165"/>
      <c r="W679" s="165"/>
      <c r="X679" s="165"/>
      <c r="Y679" s="165"/>
      <c r="Z679" s="165"/>
      <c r="AA679" s="165"/>
      <c r="AB679" s="165"/>
      <c r="AC679" s="165"/>
      <c r="AD679" s="165"/>
      <c r="AE679" s="165"/>
      <c r="AF679" s="165"/>
      <c r="AG679" s="165"/>
    </row>
    <row r="680" spans="21:33">
      <c r="U680" s="165"/>
      <c r="V680" s="165"/>
      <c r="W680" s="165"/>
      <c r="X680" s="165"/>
      <c r="Y680" s="165"/>
      <c r="Z680" s="165"/>
      <c r="AA680" s="165"/>
      <c r="AB680" s="165"/>
      <c r="AC680" s="165"/>
      <c r="AD680" s="165"/>
      <c r="AE680" s="165"/>
      <c r="AF680" s="165"/>
      <c r="AG680" s="165"/>
    </row>
    <row r="681" spans="21:33">
      <c r="U681" s="165"/>
      <c r="V681" s="165"/>
      <c r="W681" s="165"/>
      <c r="X681" s="165"/>
      <c r="Y681" s="165"/>
      <c r="Z681" s="165"/>
      <c r="AA681" s="165"/>
      <c r="AB681" s="165"/>
      <c r="AC681" s="165"/>
      <c r="AD681" s="165"/>
      <c r="AE681" s="165"/>
      <c r="AF681" s="165"/>
      <c r="AG681" s="165"/>
    </row>
    <row r="682" spans="21:33">
      <c r="U682" s="165"/>
      <c r="V682" s="165"/>
      <c r="W682" s="165"/>
      <c r="X682" s="165"/>
      <c r="Y682" s="165"/>
      <c r="Z682" s="165"/>
      <c r="AA682" s="165"/>
      <c r="AB682" s="165"/>
      <c r="AC682" s="165"/>
      <c r="AD682" s="165"/>
      <c r="AE682" s="165"/>
      <c r="AF682" s="165"/>
      <c r="AG682" s="165"/>
    </row>
    <row r="683" spans="21:33">
      <c r="U683" s="165"/>
      <c r="V683" s="165"/>
      <c r="W683" s="165"/>
      <c r="X683" s="165"/>
      <c r="Y683" s="165"/>
      <c r="Z683" s="165"/>
      <c r="AA683" s="165"/>
      <c r="AB683" s="165"/>
      <c r="AC683" s="165"/>
      <c r="AD683" s="165"/>
      <c r="AE683" s="165"/>
      <c r="AF683" s="165"/>
      <c r="AG683" s="165"/>
    </row>
    <row r="684" spans="21:33">
      <c r="U684" s="165"/>
      <c r="V684" s="165"/>
      <c r="W684" s="165"/>
      <c r="X684" s="165"/>
      <c r="Y684" s="165"/>
      <c r="Z684" s="165"/>
      <c r="AA684" s="165"/>
      <c r="AB684" s="165"/>
      <c r="AC684" s="165"/>
      <c r="AD684" s="165"/>
      <c r="AE684" s="165"/>
      <c r="AF684" s="165"/>
      <c r="AG684" s="165"/>
    </row>
    <row r="685" spans="21:33">
      <c r="U685" s="165"/>
      <c r="V685" s="165"/>
      <c r="W685" s="165"/>
      <c r="X685" s="165"/>
      <c r="Y685" s="165"/>
      <c r="Z685" s="165"/>
      <c r="AA685" s="165"/>
      <c r="AB685" s="165"/>
      <c r="AC685" s="165"/>
      <c r="AD685" s="165"/>
      <c r="AE685" s="165"/>
      <c r="AF685" s="165"/>
      <c r="AG685" s="165"/>
    </row>
    <row r="686" spans="21:33">
      <c r="U686" s="165"/>
      <c r="V686" s="165"/>
      <c r="W686" s="165"/>
      <c r="X686" s="165"/>
      <c r="Y686" s="165"/>
      <c r="Z686" s="165"/>
      <c r="AA686" s="165"/>
      <c r="AB686" s="165"/>
      <c r="AC686" s="165"/>
      <c r="AD686" s="165"/>
      <c r="AE686" s="165"/>
      <c r="AF686" s="165"/>
      <c r="AG686" s="165"/>
    </row>
    <row r="687" spans="21:33">
      <c r="U687" s="165"/>
      <c r="V687" s="165"/>
      <c r="W687" s="165"/>
      <c r="X687" s="165"/>
      <c r="Y687" s="165"/>
      <c r="Z687" s="165"/>
      <c r="AA687" s="165"/>
      <c r="AB687" s="165"/>
      <c r="AC687" s="165"/>
      <c r="AD687" s="165"/>
      <c r="AE687" s="165"/>
      <c r="AF687" s="165"/>
      <c r="AG687" s="165"/>
    </row>
    <row r="688" spans="21:33">
      <c r="U688" s="165"/>
      <c r="V688" s="165"/>
      <c r="W688" s="165"/>
      <c r="X688" s="165"/>
      <c r="Y688" s="165"/>
      <c r="Z688" s="165"/>
      <c r="AA688" s="165"/>
      <c r="AB688" s="165"/>
      <c r="AC688" s="165"/>
      <c r="AD688" s="165"/>
      <c r="AE688" s="165"/>
      <c r="AF688" s="165"/>
      <c r="AG688" s="165"/>
    </row>
    <row r="689" spans="21:33">
      <c r="U689" s="165"/>
      <c r="V689" s="165"/>
      <c r="W689" s="165"/>
      <c r="X689" s="165"/>
      <c r="Y689" s="165"/>
      <c r="Z689" s="165"/>
      <c r="AA689" s="165"/>
      <c r="AB689" s="165"/>
      <c r="AC689" s="165"/>
      <c r="AD689" s="165"/>
      <c r="AE689" s="165"/>
      <c r="AF689" s="165"/>
      <c r="AG689" s="165"/>
    </row>
    <row r="690" spans="21:33">
      <c r="U690" s="165"/>
      <c r="V690" s="165"/>
      <c r="W690" s="165"/>
      <c r="X690" s="165"/>
      <c r="Y690" s="165"/>
      <c r="Z690" s="165"/>
      <c r="AA690" s="165"/>
      <c r="AB690" s="165"/>
      <c r="AC690" s="165"/>
      <c r="AD690" s="165"/>
      <c r="AE690" s="165"/>
      <c r="AF690" s="165"/>
      <c r="AG690" s="165"/>
    </row>
    <row r="691" spans="21:33">
      <c r="U691" s="165"/>
      <c r="V691" s="165"/>
      <c r="W691" s="165"/>
      <c r="X691" s="165"/>
      <c r="Y691" s="165"/>
      <c r="Z691" s="165"/>
      <c r="AA691" s="165"/>
      <c r="AB691" s="165"/>
      <c r="AC691" s="165"/>
      <c r="AD691" s="165"/>
      <c r="AE691" s="165"/>
      <c r="AF691" s="165"/>
      <c r="AG691" s="165"/>
    </row>
    <row r="692" spans="21:33">
      <c r="U692" s="165"/>
      <c r="V692" s="165"/>
      <c r="W692" s="165"/>
      <c r="X692" s="165"/>
      <c r="Y692" s="165"/>
      <c r="Z692" s="165"/>
      <c r="AA692" s="165"/>
      <c r="AB692" s="165"/>
      <c r="AC692" s="165"/>
      <c r="AD692" s="165"/>
      <c r="AE692" s="165"/>
      <c r="AF692" s="165"/>
      <c r="AG692" s="165"/>
    </row>
    <row r="693" spans="21:33">
      <c r="U693" s="165"/>
      <c r="V693" s="165"/>
      <c r="W693" s="165"/>
      <c r="X693" s="165"/>
      <c r="Y693" s="165"/>
      <c r="Z693" s="165"/>
      <c r="AA693" s="165"/>
      <c r="AB693" s="165"/>
      <c r="AC693" s="165"/>
      <c r="AD693" s="165"/>
      <c r="AE693" s="165"/>
      <c r="AF693" s="165"/>
      <c r="AG693" s="165"/>
    </row>
    <row r="694" spans="21:33">
      <c r="U694" s="165"/>
      <c r="V694" s="165"/>
      <c r="W694" s="165"/>
      <c r="X694" s="165"/>
      <c r="Y694" s="165"/>
      <c r="Z694" s="165"/>
      <c r="AA694" s="165"/>
      <c r="AB694" s="165"/>
      <c r="AC694" s="165"/>
      <c r="AD694" s="165"/>
      <c r="AE694" s="165"/>
      <c r="AF694" s="165"/>
      <c r="AG694" s="165"/>
    </row>
    <row r="695" spans="21:33">
      <c r="U695" s="165"/>
      <c r="V695" s="165"/>
      <c r="W695" s="165"/>
      <c r="X695" s="165"/>
      <c r="Y695" s="165"/>
      <c r="Z695" s="165"/>
      <c r="AA695" s="165"/>
      <c r="AB695" s="165"/>
      <c r="AC695" s="165"/>
      <c r="AD695" s="165"/>
      <c r="AE695" s="165"/>
      <c r="AF695" s="165"/>
      <c r="AG695" s="165"/>
    </row>
    <row r="696" spans="21:33">
      <c r="U696" s="165"/>
      <c r="V696" s="165"/>
      <c r="W696" s="165"/>
      <c r="X696" s="165"/>
      <c r="Y696" s="165"/>
      <c r="Z696" s="165"/>
      <c r="AA696" s="165"/>
      <c r="AB696" s="165"/>
      <c r="AC696" s="165"/>
      <c r="AD696" s="165"/>
      <c r="AE696" s="165"/>
      <c r="AF696" s="165"/>
      <c r="AG696" s="165"/>
    </row>
    <row r="697" spans="21:33">
      <c r="U697" s="165"/>
      <c r="V697" s="165"/>
      <c r="W697" s="165"/>
      <c r="X697" s="165"/>
      <c r="Y697" s="165"/>
      <c r="Z697" s="165"/>
      <c r="AA697" s="165"/>
      <c r="AB697" s="165"/>
      <c r="AC697" s="165"/>
      <c r="AD697" s="165"/>
      <c r="AE697" s="165"/>
      <c r="AF697" s="165"/>
      <c r="AG697" s="165"/>
    </row>
    <row r="698" spans="21:33">
      <c r="U698" s="165"/>
      <c r="V698" s="165"/>
      <c r="W698" s="165"/>
      <c r="X698" s="165"/>
      <c r="Y698" s="165"/>
      <c r="Z698" s="165"/>
      <c r="AA698" s="165"/>
      <c r="AB698" s="165"/>
      <c r="AC698" s="165"/>
      <c r="AD698" s="165"/>
      <c r="AE698" s="165"/>
      <c r="AF698" s="165"/>
      <c r="AG698" s="165"/>
    </row>
    <row r="699" spans="21:33">
      <c r="U699" s="165"/>
      <c r="V699" s="165"/>
      <c r="W699" s="165"/>
      <c r="X699" s="165"/>
      <c r="Y699" s="165"/>
      <c r="Z699" s="165"/>
      <c r="AA699" s="165"/>
      <c r="AB699" s="165"/>
      <c r="AC699" s="165"/>
      <c r="AD699" s="165"/>
      <c r="AE699" s="165"/>
      <c r="AF699" s="165"/>
      <c r="AG699" s="165"/>
    </row>
    <row r="700" spans="21:33">
      <c r="U700" s="165"/>
      <c r="V700" s="165"/>
      <c r="W700" s="165"/>
      <c r="X700" s="165"/>
      <c r="Y700" s="165"/>
      <c r="Z700" s="165"/>
      <c r="AA700" s="165"/>
      <c r="AB700" s="165"/>
      <c r="AC700" s="165"/>
      <c r="AD700" s="165"/>
      <c r="AE700" s="165"/>
      <c r="AF700" s="165"/>
      <c r="AG700" s="165"/>
    </row>
    <row r="701" spans="21:33">
      <c r="U701" s="165"/>
      <c r="V701" s="165"/>
      <c r="W701" s="165"/>
      <c r="X701" s="165"/>
      <c r="Y701" s="165"/>
      <c r="Z701" s="165"/>
      <c r="AA701" s="165"/>
      <c r="AB701" s="165"/>
      <c r="AC701" s="165"/>
      <c r="AD701" s="165"/>
      <c r="AE701" s="165"/>
      <c r="AF701" s="165"/>
      <c r="AG701" s="165"/>
    </row>
    <row r="702" spans="21:33">
      <c r="U702" s="165"/>
      <c r="V702" s="165"/>
      <c r="W702" s="165"/>
      <c r="X702" s="165"/>
      <c r="Y702" s="165"/>
      <c r="Z702" s="165"/>
      <c r="AA702" s="165"/>
      <c r="AB702" s="165"/>
      <c r="AC702" s="165"/>
      <c r="AD702" s="165"/>
      <c r="AE702" s="165"/>
      <c r="AF702" s="165"/>
      <c r="AG702" s="165"/>
    </row>
    <row r="703" spans="21:33">
      <c r="U703" s="165"/>
      <c r="V703" s="165"/>
      <c r="W703" s="165"/>
      <c r="X703" s="165"/>
      <c r="Y703" s="165"/>
      <c r="Z703" s="165"/>
      <c r="AA703" s="165"/>
      <c r="AB703" s="165"/>
      <c r="AC703" s="165"/>
      <c r="AD703" s="165"/>
      <c r="AE703" s="165"/>
      <c r="AF703" s="165"/>
      <c r="AG703" s="165"/>
    </row>
    <row r="704" spans="21:33">
      <c r="U704" s="165"/>
      <c r="V704" s="165"/>
      <c r="W704" s="165"/>
      <c r="X704" s="165"/>
      <c r="Y704" s="165"/>
      <c r="Z704" s="165"/>
      <c r="AA704" s="165"/>
      <c r="AB704" s="165"/>
      <c r="AC704" s="165"/>
      <c r="AD704" s="165"/>
      <c r="AE704" s="165"/>
      <c r="AF704" s="165"/>
      <c r="AG704" s="165"/>
    </row>
    <row r="705" spans="21:33">
      <c r="U705" s="165"/>
      <c r="V705" s="165"/>
      <c r="W705" s="165"/>
      <c r="X705" s="165"/>
      <c r="Y705" s="165"/>
      <c r="Z705" s="165"/>
      <c r="AA705" s="165"/>
      <c r="AB705" s="165"/>
      <c r="AC705" s="165"/>
      <c r="AD705" s="165"/>
      <c r="AE705" s="165"/>
      <c r="AF705" s="165"/>
      <c r="AG705" s="165"/>
    </row>
    <row r="706" spans="21:33">
      <c r="U706" s="165"/>
      <c r="V706" s="165"/>
      <c r="W706" s="165"/>
      <c r="X706" s="165"/>
      <c r="Y706" s="165"/>
      <c r="Z706" s="165"/>
      <c r="AA706" s="165"/>
      <c r="AB706" s="165"/>
      <c r="AC706" s="165"/>
      <c r="AD706" s="165"/>
      <c r="AE706" s="165"/>
      <c r="AF706" s="165"/>
      <c r="AG706" s="165"/>
    </row>
    <row r="707" spans="21:33">
      <c r="U707" s="165"/>
      <c r="V707" s="165"/>
      <c r="W707" s="165"/>
      <c r="X707" s="165"/>
      <c r="Y707" s="165"/>
      <c r="Z707" s="165"/>
      <c r="AA707" s="165"/>
      <c r="AB707" s="165"/>
      <c r="AC707" s="165"/>
      <c r="AD707" s="165"/>
      <c r="AE707" s="165"/>
      <c r="AF707" s="165"/>
      <c r="AG707" s="165"/>
    </row>
    <row r="708" spans="21:33">
      <c r="U708" s="165"/>
      <c r="V708" s="165"/>
      <c r="W708" s="165"/>
      <c r="X708" s="165"/>
      <c r="Y708" s="165"/>
      <c r="Z708" s="165"/>
      <c r="AA708" s="165"/>
      <c r="AB708" s="165"/>
      <c r="AC708" s="165"/>
      <c r="AD708" s="165"/>
      <c r="AE708" s="165"/>
      <c r="AF708" s="165"/>
      <c r="AG708" s="165"/>
    </row>
    <row r="709" spans="21:33">
      <c r="U709" s="165"/>
      <c r="V709" s="165"/>
      <c r="W709" s="165"/>
      <c r="X709" s="165"/>
      <c r="Y709" s="165"/>
      <c r="Z709" s="165"/>
      <c r="AA709" s="165"/>
      <c r="AB709" s="165"/>
      <c r="AC709" s="165"/>
      <c r="AD709" s="165"/>
      <c r="AE709" s="165"/>
      <c r="AF709" s="165"/>
      <c r="AG709" s="165"/>
    </row>
    <row r="710" spans="21:33">
      <c r="U710" s="165"/>
      <c r="V710" s="165"/>
      <c r="W710" s="165"/>
      <c r="X710" s="165"/>
      <c r="Y710" s="165"/>
      <c r="Z710" s="165"/>
      <c r="AA710" s="165"/>
      <c r="AB710" s="165"/>
      <c r="AC710" s="165"/>
      <c r="AD710" s="165"/>
      <c r="AE710" s="165"/>
      <c r="AF710" s="165"/>
      <c r="AG710" s="165"/>
    </row>
    <row r="711" spans="21:33">
      <c r="U711" s="165"/>
      <c r="V711" s="165"/>
      <c r="W711" s="165"/>
      <c r="X711" s="165"/>
      <c r="Y711" s="165"/>
      <c r="Z711" s="165"/>
      <c r="AA711" s="165"/>
      <c r="AB711" s="165"/>
      <c r="AC711" s="165"/>
      <c r="AD711" s="165"/>
      <c r="AE711" s="165"/>
      <c r="AF711" s="165"/>
      <c r="AG711" s="165"/>
    </row>
    <row r="712" spans="21:33">
      <c r="U712" s="165"/>
      <c r="V712" s="165"/>
      <c r="W712" s="165"/>
      <c r="X712" s="165"/>
      <c r="Y712" s="165"/>
      <c r="Z712" s="165"/>
      <c r="AA712" s="165"/>
      <c r="AB712" s="165"/>
      <c r="AC712" s="165"/>
      <c r="AD712" s="165"/>
      <c r="AE712" s="165"/>
      <c r="AF712" s="165"/>
      <c r="AG712" s="165"/>
    </row>
    <row r="713" spans="21:33">
      <c r="U713" s="165"/>
      <c r="V713" s="165"/>
      <c r="W713" s="165"/>
      <c r="X713" s="165"/>
      <c r="Y713" s="165"/>
      <c r="Z713" s="165"/>
      <c r="AA713" s="165"/>
      <c r="AB713" s="165"/>
      <c r="AC713" s="165"/>
      <c r="AD713" s="165"/>
      <c r="AE713" s="165"/>
      <c r="AF713" s="165"/>
      <c r="AG713" s="165"/>
    </row>
    <row r="714" spans="21:33">
      <c r="U714" s="165"/>
      <c r="V714" s="165"/>
      <c r="W714" s="165"/>
      <c r="X714" s="165"/>
      <c r="Y714" s="165"/>
      <c r="Z714" s="165"/>
      <c r="AA714" s="165"/>
      <c r="AB714" s="165"/>
      <c r="AC714" s="165"/>
      <c r="AD714" s="165"/>
      <c r="AE714" s="165"/>
      <c r="AF714" s="165"/>
      <c r="AG714" s="165"/>
    </row>
    <row r="715" spans="21:33">
      <c r="U715" s="165"/>
      <c r="V715" s="165"/>
      <c r="W715" s="165"/>
      <c r="X715" s="165"/>
      <c r="Y715" s="165"/>
      <c r="Z715" s="165"/>
      <c r="AA715" s="165"/>
      <c r="AB715" s="165"/>
      <c r="AC715" s="165"/>
      <c r="AD715" s="165"/>
      <c r="AE715" s="165"/>
      <c r="AF715" s="165"/>
      <c r="AG715" s="165"/>
    </row>
    <row r="716" spans="21:33">
      <c r="U716" s="165"/>
      <c r="V716" s="165"/>
      <c r="W716" s="165"/>
      <c r="X716" s="165"/>
      <c r="Y716" s="165"/>
      <c r="Z716" s="165"/>
      <c r="AA716" s="165"/>
      <c r="AB716" s="165"/>
      <c r="AC716" s="165"/>
      <c r="AD716" s="165"/>
      <c r="AE716" s="165"/>
      <c r="AF716" s="165"/>
      <c r="AG716" s="165"/>
    </row>
    <row r="717" spans="21:33">
      <c r="U717" s="165"/>
      <c r="V717" s="165"/>
      <c r="W717" s="165"/>
      <c r="X717" s="165"/>
      <c r="Y717" s="165"/>
      <c r="Z717" s="165"/>
      <c r="AA717" s="165"/>
      <c r="AB717" s="165"/>
      <c r="AC717" s="165"/>
      <c r="AD717" s="165"/>
      <c r="AE717" s="165"/>
      <c r="AF717" s="165"/>
      <c r="AG717" s="165"/>
    </row>
    <row r="718" spans="21:33">
      <c r="U718" s="165"/>
      <c r="V718" s="165"/>
      <c r="W718" s="165"/>
      <c r="X718" s="165"/>
      <c r="Y718" s="165"/>
      <c r="Z718" s="165"/>
      <c r="AA718" s="165"/>
      <c r="AB718" s="165"/>
      <c r="AC718" s="165"/>
      <c r="AD718" s="165"/>
      <c r="AE718" s="165"/>
      <c r="AF718" s="165"/>
      <c r="AG718" s="165"/>
    </row>
    <row r="719" spans="21:33">
      <c r="U719" s="165"/>
      <c r="V719" s="165"/>
      <c r="W719" s="165"/>
      <c r="X719" s="165"/>
      <c r="Y719" s="165"/>
      <c r="Z719" s="165"/>
      <c r="AA719" s="165"/>
      <c r="AB719" s="165"/>
      <c r="AC719" s="165"/>
      <c r="AD719" s="165"/>
      <c r="AE719" s="165"/>
      <c r="AF719" s="165"/>
      <c r="AG719" s="165"/>
    </row>
    <row r="720" spans="21:33">
      <c r="U720" s="165"/>
      <c r="V720" s="165"/>
      <c r="W720" s="165"/>
      <c r="X720" s="165"/>
      <c r="Y720" s="165"/>
      <c r="Z720" s="165"/>
      <c r="AA720" s="165"/>
      <c r="AB720" s="165"/>
      <c r="AC720" s="165"/>
      <c r="AD720" s="165"/>
      <c r="AE720" s="165"/>
      <c r="AF720" s="165"/>
      <c r="AG720" s="165"/>
    </row>
    <row r="721" spans="21:33">
      <c r="U721" s="165"/>
      <c r="V721" s="165"/>
      <c r="W721" s="165"/>
      <c r="X721" s="165"/>
      <c r="Y721" s="165"/>
      <c r="Z721" s="165"/>
      <c r="AA721" s="165"/>
      <c r="AB721" s="165"/>
      <c r="AC721" s="165"/>
      <c r="AD721" s="165"/>
      <c r="AE721" s="165"/>
      <c r="AF721" s="165"/>
      <c r="AG721" s="165"/>
    </row>
    <row r="722" spans="21:33">
      <c r="U722" s="165"/>
      <c r="V722" s="165"/>
      <c r="W722" s="165"/>
      <c r="X722" s="165"/>
      <c r="Y722" s="165"/>
      <c r="Z722" s="165"/>
      <c r="AA722" s="165"/>
      <c r="AB722" s="165"/>
      <c r="AC722" s="165"/>
      <c r="AD722" s="165"/>
      <c r="AE722" s="165"/>
      <c r="AF722" s="165"/>
      <c r="AG722" s="165"/>
    </row>
    <row r="723" spans="21:33">
      <c r="U723" s="165"/>
      <c r="V723" s="165"/>
      <c r="W723" s="165"/>
      <c r="X723" s="165"/>
      <c r="Y723" s="165"/>
      <c r="Z723" s="165"/>
      <c r="AA723" s="165"/>
      <c r="AB723" s="165"/>
      <c r="AC723" s="165"/>
      <c r="AD723" s="165"/>
      <c r="AE723" s="165"/>
      <c r="AF723" s="165"/>
      <c r="AG723" s="165"/>
    </row>
    <row r="724" spans="21:33">
      <c r="U724" s="165"/>
      <c r="V724" s="165"/>
      <c r="W724" s="165"/>
      <c r="X724" s="165"/>
      <c r="Y724" s="165"/>
      <c r="Z724" s="165"/>
      <c r="AA724" s="165"/>
      <c r="AB724" s="165"/>
      <c r="AC724" s="165"/>
      <c r="AD724" s="165"/>
      <c r="AE724" s="165"/>
      <c r="AF724" s="165"/>
      <c r="AG724" s="165"/>
    </row>
    <row r="725" spans="21:33">
      <c r="U725" s="165"/>
      <c r="V725" s="165"/>
      <c r="W725" s="165"/>
      <c r="X725" s="165"/>
      <c r="Y725" s="165"/>
      <c r="Z725" s="165"/>
      <c r="AA725" s="165"/>
      <c r="AB725" s="165"/>
      <c r="AC725" s="165"/>
      <c r="AD725" s="165"/>
      <c r="AE725" s="165"/>
      <c r="AF725" s="165"/>
      <c r="AG725" s="165"/>
    </row>
    <row r="726" spans="21:33">
      <c r="U726" s="165"/>
      <c r="V726" s="165"/>
      <c r="W726" s="165"/>
      <c r="X726" s="165"/>
      <c r="Y726" s="165"/>
      <c r="Z726" s="165"/>
      <c r="AA726" s="165"/>
      <c r="AB726" s="165"/>
      <c r="AC726" s="165"/>
      <c r="AD726" s="165"/>
      <c r="AE726" s="165"/>
      <c r="AF726" s="165"/>
      <c r="AG726" s="165"/>
    </row>
    <row r="727" spans="21:33">
      <c r="U727" s="165"/>
      <c r="V727" s="165"/>
      <c r="W727" s="165"/>
      <c r="X727" s="165"/>
      <c r="Y727" s="165"/>
      <c r="Z727" s="165"/>
      <c r="AA727" s="165"/>
      <c r="AB727" s="165"/>
      <c r="AC727" s="165"/>
      <c r="AD727" s="165"/>
      <c r="AE727" s="165"/>
      <c r="AF727" s="165"/>
      <c r="AG727" s="165"/>
    </row>
    <row r="728" spans="21:33">
      <c r="U728" s="165"/>
      <c r="V728" s="165"/>
      <c r="W728" s="165"/>
      <c r="X728" s="165"/>
      <c r="Y728" s="165"/>
      <c r="Z728" s="165"/>
      <c r="AA728" s="165"/>
      <c r="AB728" s="165"/>
      <c r="AC728" s="165"/>
      <c r="AD728" s="165"/>
      <c r="AE728" s="165"/>
      <c r="AF728" s="165"/>
      <c r="AG728" s="165"/>
    </row>
    <row r="729" spans="21:33">
      <c r="U729" s="165"/>
      <c r="V729" s="165"/>
      <c r="W729" s="165"/>
      <c r="X729" s="165"/>
      <c r="Y729" s="165"/>
      <c r="Z729" s="165"/>
      <c r="AA729" s="165"/>
      <c r="AB729" s="165"/>
      <c r="AC729" s="165"/>
      <c r="AD729" s="165"/>
      <c r="AE729" s="165"/>
      <c r="AF729" s="165"/>
      <c r="AG729" s="165"/>
    </row>
    <row r="730" spans="21:33">
      <c r="U730" s="165"/>
      <c r="V730" s="165"/>
      <c r="W730" s="165"/>
      <c r="X730" s="165"/>
      <c r="Y730" s="165"/>
      <c r="Z730" s="165"/>
      <c r="AA730" s="165"/>
      <c r="AB730" s="165"/>
      <c r="AC730" s="165"/>
      <c r="AD730" s="165"/>
      <c r="AE730" s="165"/>
      <c r="AF730" s="165"/>
      <c r="AG730" s="165"/>
    </row>
    <row r="731" spans="21:33">
      <c r="U731" s="165"/>
      <c r="V731" s="165"/>
      <c r="W731" s="165"/>
      <c r="X731" s="165"/>
      <c r="Y731" s="165"/>
      <c r="Z731" s="165"/>
      <c r="AA731" s="165"/>
      <c r="AB731" s="165"/>
      <c r="AC731" s="165"/>
      <c r="AD731" s="165"/>
      <c r="AE731" s="165"/>
      <c r="AF731" s="165"/>
      <c r="AG731" s="165"/>
    </row>
    <row r="732" spans="21:33">
      <c r="U732" s="165"/>
      <c r="V732" s="165"/>
      <c r="W732" s="165"/>
      <c r="X732" s="165"/>
      <c r="Y732" s="165"/>
      <c r="Z732" s="165"/>
      <c r="AA732" s="165"/>
      <c r="AB732" s="165"/>
      <c r="AC732" s="165"/>
      <c r="AD732" s="165"/>
      <c r="AE732" s="165"/>
      <c r="AF732" s="165"/>
      <c r="AG732" s="165"/>
    </row>
    <row r="733" spans="21:33">
      <c r="U733" s="165"/>
      <c r="V733" s="165"/>
      <c r="W733" s="165"/>
      <c r="X733" s="165"/>
      <c r="Y733" s="165"/>
      <c r="Z733" s="165"/>
      <c r="AA733" s="165"/>
      <c r="AB733" s="165"/>
      <c r="AC733" s="165"/>
      <c r="AD733" s="165"/>
      <c r="AE733" s="165"/>
      <c r="AF733" s="165"/>
      <c r="AG733" s="165"/>
    </row>
    <row r="734" spans="21:33">
      <c r="U734" s="165"/>
      <c r="V734" s="165"/>
      <c r="W734" s="165"/>
      <c r="X734" s="165"/>
      <c r="Y734" s="165"/>
      <c r="Z734" s="165"/>
      <c r="AA734" s="165"/>
      <c r="AB734" s="165"/>
      <c r="AC734" s="165"/>
      <c r="AD734" s="165"/>
      <c r="AE734" s="165"/>
      <c r="AF734" s="165"/>
      <c r="AG734" s="165"/>
    </row>
    <row r="735" spans="21:33">
      <c r="U735" s="165"/>
      <c r="V735" s="165"/>
      <c r="W735" s="165"/>
      <c r="X735" s="165"/>
      <c r="Y735" s="165"/>
      <c r="Z735" s="165"/>
      <c r="AA735" s="165"/>
      <c r="AB735" s="165"/>
      <c r="AC735" s="165"/>
      <c r="AD735" s="165"/>
      <c r="AE735" s="165"/>
      <c r="AF735" s="165"/>
      <c r="AG735" s="165"/>
    </row>
    <row r="736" spans="21:33">
      <c r="U736" s="165"/>
      <c r="V736" s="165"/>
      <c r="W736" s="165"/>
      <c r="X736" s="165"/>
      <c r="Y736" s="165"/>
      <c r="Z736" s="165"/>
      <c r="AA736" s="165"/>
      <c r="AB736" s="165"/>
      <c r="AC736" s="165"/>
      <c r="AD736" s="165"/>
      <c r="AE736" s="165"/>
      <c r="AF736" s="165"/>
      <c r="AG736" s="165"/>
    </row>
    <row r="737" spans="21:33">
      <c r="U737" s="165"/>
      <c r="V737" s="165"/>
      <c r="W737" s="165"/>
      <c r="X737" s="165"/>
      <c r="Y737" s="165"/>
      <c r="Z737" s="165"/>
      <c r="AA737" s="165"/>
      <c r="AB737" s="165"/>
      <c r="AC737" s="165"/>
      <c r="AD737" s="165"/>
      <c r="AE737" s="165"/>
      <c r="AF737" s="165"/>
      <c r="AG737" s="165"/>
    </row>
    <row r="738" spans="21:33">
      <c r="U738" s="165"/>
      <c r="V738" s="165"/>
      <c r="W738" s="165"/>
      <c r="X738" s="165"/>
      <c r="Y738" s="165"/>
      <c r="Z738" s="165"/>
      <c r="AA738" s="165"/>
      <c r="AB738" s="165"/>
      <c r="AC738" s="165"/>
      <c r="AD738" s="165"/>
      <c r="AE738" s="165"/>
      <c r="AF738" s="165"/>
      <c r="AG738" s="165"/>
    </row>
    <row r="739" spans="21:33">
      <c r="U739" s="165"/>
      <c r="V739" s="165"/>
      <c r="W739" s="165"/>
      <c r="X739" s="165"/>
      <c r="Y739" s="165"/>
      <c r="Z739" s="165"/>
      <c r="AA739" s="165"/>
      <c r="AB739" s="165"/>
      <c r="AC739" s="165"/>
      <c r="AD739" s="165"/>
      <c r="AE739" s="165"/>
      <c r="AF739" s="165"/>
      <c r="AG739" s="165"/>
    </row>
    <row r="740" spans="21:33">
      <c r="U740" s="165"/>
      <c r="V740" s="165"/>
      <c r="W740" s="165"/>
      <c r="X740" s="165"/>
      <c r="Y740" s="165"/>
      <c r="Z740" s="165"/>
      <c r="AA740" s="165"/>
      <c r="AB740" s="165"/>
      <c r="AC740" s="165"/>
      <c r="AD740" s="165"/>
      <c r="AE740" s="165"/>
      <c r="AF740" s="165"/>
      <c r="AG740" s="165"/>
    </row>
    <row r="741" spans="21:33">
      <c r="U741" s="165"/>
      <c r="V741" s="165"/>
      <c r="W741" s="165"/>
      <c r="X741" s="165"/>
      <c r="Y741" s="165"/>
      <c r="Z741" s="165"/>
      <c r="AA741" s="165"/>
      <c r="AB741" s="165"/>
      <c r="AC741" s="165"/>
      <c r="AD741" s="165"/>
      <c r="AE741" s="165"/>
      <c r="AF741" s="165"/>
      <c r="AG741" s="165"/>
    </row>
    <row r="742" spans="21:33">
      <c r="U742" s="165"/>
      <c r="V742" s="165"/>
      <c r="W742" s="165"/>
      <c r="X742" s="165"/>
      <c r="Y742" s="165"/>
      <c r="Z742" s="165"/>
      <c r="AA742" s="165"/>
      <c r="AB742" s="165"/>
      <c r="AC742" s="165"/>
      <c r="AD742" s="165"/>
      <c r="AE742" s="165"/>
      <c r="AF742" s="165"/>
      <c r="AG742" s="165"/>
    </row>
    <row r="743" spans="21:33">
      <c r="U743" s="165"/>
      <c r="V743" s="165"/>
      <c r="W743" s="165"/>
      <c r="X743" s="165"/>
      <c r="Y743" s="165"/>
      <c r="Z743" s="165"/>
      <c r="AA743" s="165"/>
      <c r="AB743" s="165"/>
      <c r="AC743" s="165"/>
      <c r="AD743" s="165"/>
      <c r="AE743" s="165"/>
      <c r="AF743" s="165"/>
      <c r="AG743" s="165"/>
    </row>
    <row r="744" spans="21:33">
      <c r="U744" s="165"/>
      <c r="V744" s="165"/>
      <c r="W744" s="165"/>
      <c r="X744" s="165"/>
      <c r="Y744" s="165"/>
      <c r="Z744" s="165"/>
      <c r="AA744" s="165"/>
      <c r="AB744" s="165"/>
      <c r="AC744" s="165"/>
      <c r="AD744" s="165"/>
      <c r="AE744" s="165"/>
      <c r="AF744" s="165"/>
      <c r="AG744" s="165"/>
    </row>
    <row r="745" spans="21:33">
      <c r="U745" s="165"/>
      <c r="V745" s="165"/>
      <c r="W745" s="165"/>
      <c r="X745" s="165"/>
      <c r="Y745" s="165"/>
      <c r="Z745" s="165"/>
      <c r="AA745" s="165"/>
      <c r="AB745" s="165"/>
      <c r="AC745" s="165"/>
      <c r="AD745" s="165"/>
      <c r="AE745" s="165"/>
      <c r="AF745" s="165"/>
      <c r="AG745" s="165"/>
    </row>
    <row r="746" spans="21:33">
      <c r="U746" s="165"/>
      <c r="V746" s="165"/>
      <c r="W746" s="165"/>
      <c r="X746" s="165"/>
      <c r="Y746" s="165"/>
      <c r="Z746" s="165"/>
      <c r="AA746" s="165"/>
      <c r="AB746" s="165"/>
      <c r="AC746" s="165"/>
      <c r="AD746" s="165"/>
      <c r="AE746" s="165"/>
      <c r="AF746" s="165"/>
      <c r="AG746" s="165"/>
    </row>
    <row r="747" spans="21:33">
      <c r="U747" s="165"/>
      <c r="V747" s="165"/>
      <c r="W747" s="165"/>
      <c r="X747" s="165"/>
      <c r="Y747" s="165"/>
      <c r="Z747" s="165"/>
      <c r="AA747" s="165"/>
      <c r="AB747" s="165"/>
      <c r="AC747" s="165"/>
      <c r="AD747" s="165"/>
      <c r="AE747" s="165"/>
      <c r="AF747" s="165"/>
      <c r="AG747" s="165"/>
    </row>
    <row r="748" spans="21:33">
      <c r="U748" s="165"/>
      <c r="V748" s="165"/>
      <c r="W748" s="165"/>
      <c r="X748" s="165"/>
      <c r="Y748" s="165"/>
      <c r="Z748" s="165"/>
      <c r="AA748" s="165"/>
      <c r="AB748" s="165"/>
      <c r="AC748" s="165"/>
      <c r="AD748" s="165"/>
      <c r="AE748" s="165"/>
      <c r="AF748" s="165"/>
      <c r="AG748" s="165"/>
    </row>
    <row r="749" spans="21:33">
      <c r="U749" s="165"/>
      <c r="V749" s="165"/>
      <c r="W749" s="165"/>
      <c r="X749" s="165"/>
      <c r="Y749" s="165"/>
      <c r="Z749" s="165"/>
      <c r="AA749" s="165"/>
      <c r="AB749" s="165"/>
      <c r="AC749" s="165"/>
      <c r="AD749" s="165"/>
      <c r="AE749" s="165"/>
      <c r="AF749" s="165"/>
      <c r="AG749" s="165"/>
    </row>
    <row r="750" spans="21:33">
      <c r="U750" s="165"/>
      <c r="V750" s="165"/>
      <c r="W750" s="165"/>
      <c r="X750" s="165"/>
      <c r="Y750" s="165"/>
      <c r="Z750" s="165"/>
      <c r="AA750" s="165"/>
      <c r="AB750" s="165"/>
      <c r="AC750" s="165"/>
      <c r="AD750" s="165"/>
      <c r="AE750" s="165"/>
      <c r="AF750" s="165"/>
      <c r="AG750" s="165"/>
    </row>
    <row r="751" spans="21:33">
      <c r="U751" s="165"/>
      <c r="V751" s="165"/>
      <c r="W751" s="165"/>
      <c r="X751" s="165"/>
      <c r="Y751" s="165"/>
      <c r="Z751" s="165"/>
      <c r="AA751" s="165"/>
      <c r="AB751" s="165"/>
      <c r="AC751" s="165"/>
      <c r="AD751" s="165"/>
      <c r="AE751" s="165"/>
      <c r="AF751" s="165"/>
      <c r="AG751" s="165"/>
    </row>
    <row r="752" spans="21:33">
      <c r="U752" s="165"/>
      <c r="V752" s="165"/>
      <c r="W752" s="165"/>
      <c r="X752" s="165"/>
      <c r="Y752" s="165"/>
      <c r="Z752" s="165"/>
      <c r="AA752" s="165"/>
      <c r="AB752" s="165"/>
      <c r="AC752" s="165"/>
      <c r="AD752" s="165"/>
      <c r="AE752" s="165"/>
      <c r="AF752" s="165"/>
      <c r="AG752" s="165"/>
    </row>
    <row r="753" spans="21:33">
      <c r="U753" s="165"/>
      <c r="V753" s="165"/>
      <c r="W753" s="165"/>
      <c r="X753" s="165"/>
      <c r="Y753" s="165"/>
      <c r="Z753" s="165"/>
      <c r="AA753" s="165"/>
      <c r="AB753" s="165"/>
      <c r="AC753" s="165"/>
      <c r="AD753" s="165"/>
      <c r="AE753" s="165"/>
      <c r="AF753" s="165"/>
      <c r="AG753" s="165"/>
    </row>
    <row r="754" spans="21:33">
      <c r="U754" s="165"/>
      <c r="V754" s="165"/>
      <c r="W754" s="165"/>
      <c r="X754" s="165"/>
      <c r="Y754" s="165"/>
      <c r="Z754" s="165"/>
      <c r="AA754" s="165"/>
      <c r="AB754" s="165"/>
      <c r="AC754" s="165"/>
      <c r="AD754" s="165"/>
      <c r="AE754" s="165"/>
      <c r="AF754" s="165"/>
      <c r="AG754" s="165"/>
    </row>
    <row r="755" spans="21:33">
      <c r="U755" s="165"/>
      <c r="V755" s="165"/>
      <c r="W755" s="165"/>
      <c r="X755" s="165"/>
      <c r="Y755" s="165"/>
      <c r="Z755" s="165"/>
      <c r="AA755" s="165"/>
      <c r="AB755" s="165"/>
      <c r="AC755" s="165"/>
      <c r="AD755" s="165"/>
      <c r="AE755" s="165"/>
      <c r="AF755" s="165"/>
      <c r="AG755" s="165"/>
    </row>
  </sheetData>
  <sheetProtection algorithmName="SHA-512" hashValue="Ow6oNhm3OaUpGWJzf3HREjh6I7+83gTY0xytn6S8gtJZuLsJ8gS9sTRaiABKnYy2FbeH65nOpaziPEX7t6L6hg==" saltValue="wa3JCtqoQm8inlrq/ZMrg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1" manualBreakCount="1">
    <brk id="87"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H13" sqref="H13"/>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65"/>
      <c r="B1" s="1287" t="s">
        <v>653</v>
      </c>
      <c r="C1" s="1287"/>
      <c r="D1" s="1287"/>
      <c r="E1" s="1287"/>
      <c r="F1" s="546"/>
      <c r="G1" s="546"/>
    </row>
    <row r="2" spans="1:7" ht="26.25">
      <c r="A2" s="1265"/>
      <c r="B2" s="1288" t="s">
        <v>259</v>
      </c>
      <c r="C2" s="1288"/>
      <c r="D2" s="1288"/>
      <c r="E2" s="1288"/>
      <c r="F2" s="1117"/>
      <c r="G2" s="1117"/>
    </row>
    <row r="3" spans="1:7" ht="26.25">
      <c r="A3" s="1265"/>
      <c r="B3" s="1288" t="s">
        <v>444</v>
      </c>
      <c r="C3" s="1288"/>
      <c r="D3" s="1288"/>
      <c r="E3" s="1288"/>
      <c r="F3" s="1117"/>
      <c r="G3" s="1117"/>
    </row>
    <row r="4" spans="1:7" ht="26.25">
      <c r="A4" s="1265"/>
      <c r="B4" s="1288" t="s">
        <v>654</v>
      </c>
      <c r="C4" s="1288"/>
      <c r="D4" s="1288"/>
      <c r="E4" s="1288"/>
      <c r="F4" s="1117"/>
      <c r="G4" s="1117"/>
    </row>
    <row r="5" spans="1:7" ht="26.25">
      <c r="A5" s="1265"/>
      <c r="B5" s="1287" t="s">
        <v>721</v>
      </c>
      <c r="C5" s="1287"/>
      <c r="D5" s="1287"/>
      <c r="E5" s="1287"/>
      <c r="F5" s="1118"/>
      <c r="G5" s="1118"/>
    </row>
    <row r="6" spans="1:7" ht="25.15" customHeight="1">
      <c r="B6" s="1118"/>
      <c r="C6" s="1118"/>
      <c r="D6" s="1118"/>
      <c r="E6" s="1118"/>
      <c r="F6" s="1118"/>
      <c r="G6" s="1118"/>
    </row>
    <row r="7" spans="1:7" ht="25.15" customHeight="1">
      <c r="B7" s="546"/>
      <c r="C7" s="546"/>
      <c r="D7" s="659"/>
      <c r="E7" s="659"/>
      <c r="F7" s="659"/>
      <c r="G7" s="659"/>
    </row>
    <row r="8" spans="1:7" ht="25.15" customHeight="1">
      <c r="B8" s="661" t="s">
        <v>15</v>
      </c>
      <c r="C8" s="1116" t="str">
        <f>'CHECK SHEET'!D7</f>
        <v>Florida SouthWestern State College</v>
      </c>
      <c r="D8" s="1116"/>
      <c r="E8" s="1116"/>
      <c r="F8" s="658"/>
      <c r="G8" s="658"/>
    </row>
    <row r="9" spans="1:7" ht="25.15" customHeight="1">
      <c r="D9" s="214"/>
      <c r="E9" s="214"/>
      <c r="F9" s="214"/>
      <c r="G9" s="214"/>
    </row>
    <row r="10" spans="1:7" ht="41.45" customHeight="1">
      <c r="E10" s="309" t="s">
        <v>670</v>
      </c>
    </row>
    <row r="11" spans="1:7" ht="25.15" customHeight="1">
      <c r="B11" s="166" t="s">
        <v>722</v>
      </c>
      <c r="C11" s="166"/>
      <c r="D11" s="166"/>
      <c r="E11" s="288"/>
    </row>
    <row r="12" spans="1:7" ht="25.15" customHeight="1">
      <c r="B12" s="166"/>
      <c r="C12" s="166"/>
      <c r="D12" s="166"/>
    </row>
    <row r="13" spans="1:7" ht="25.15" customHeight="1">
      <c r="B13" s="50" t="s">
        <v>723</v>
      </c>
      <c r="D13" s="166"/>
      <c r="E13" s="868">
        <v>8507536</v>
      </c>
    </row>
    <row r="14" spans="1:7" ht="25.15" customHeight="1">
      <c r="B14" s="50" t="s">
        <v>651</v>
      </c>
      <c r="C14" s="33"/>
      <c r="D14" s="166"/>
      <c r="E14" s="869">
        <v>22905955</v>
      </c>
    </row>
    <row r="15" spans="1:7" ht="25.15" customHeight="1">
      <c r="B15" s="166"/>
      <c r="C15" s="166"/>
      <c r="D15" s="166"/>
      <c r="E15" s="289"/>
    </row>
    <row r="16" spans="1:7" ht="25.15" customHeight="1">
      <c r="B16" s="33" t="s">
        <v>724</v>
      </c>
      <c r="C16" s="48"/>
      <c r="D16" s="48"/>
      <c r="E16" s="299">
        <f>+E14+E13</f>
        <v>31413491</v>
      </c>
    </row>
    <row r="17" spans="2:7" ht="25.15" customHeight="1">
      <c r="B17" s="166"/>
      <c r="C17" s="166"/>
      <c r="D17" s="166"/>
      <c r="E17" s="290"/>
    </row>
    <row r="18" spans="2:7" ht="25.15" customHeight="1">
      <c r="B18" s="50" t="s">
        <v>530</v>
      </c>
      <c r="D18" s="166"/>
      <c r="E18" s="310">
        <f>+'EXHIBIT D'!G141-SUM(+'EXHIBIT D'!G130+'EXHIBIT D'!G131+'EXHIBIT D'!G132+'EXHIBIT D'!G133)</f>
        <v>70757138</v>
      </c>
      <c r="G18" s="291"/>
    </row>
    <row r="19" spans="2:7" ht="25.15" customHeight="1">
      <c r="B19" s="50" t="s">
        <v>531</v>
      </c>
      <c r="D19" s="166"/>
      <c r="E19" s="299">
        <f>+'EXHIBIT D'!G130+'EXHIBIT D'!G131+'EXHIBIT D'!G132+'EXHIBIT D'!G133</f>
        <v>163050</v>
      </c>
    </row>
    <row r="20" spans="2:7" ht="25.15" customHeight="1">
      <c r="B20" s="166"/>
      <c r="C20" s="166"/>
      <c r="D20" s="166"/>
      <c r="E20" s="300"/>
    </row>
    <row r="21" spans="2:7" ht="25.15" customHeight="1">
      <c r="B21" s="50" t="s">
        <v>16</v>
      </c>
      <c r="C21" s="166"/>
      <c r="D21" s="166"/>
      <c r="E21" s="297">
        <f>+E19+E18</f>
        <v>70920188</v>
      </c>
    </row>
    <row r="22" spans="2:7" ht="25.15" customHeight="1">
      <c r="B22" s="166"/>
      <c r="C22" s="166"/>
      <c r="D22" s="166"/>
      <c r="E22" s="300"/>
    </row>
    <row r="23" spans="2:7" ht="25.15" customHeight="1">
      <c r="B23" s="166" t="s">
        <v>17</v>
      </c>
      <c r="C23" s="166"/>
      <c r="D23" s="166"/>
      <c r="E23" s="297">
        <f>+E21+E16</f>
        <v>102333679</v>
      </c>
    </row>
    <row r="24" spans="2:7" ht="25.15" customHeight="1">
      <c r="B24" s="166"/>
      <c r="C24" s="166"/>
      <c r="D24" s="166"/>
      <c r="E24" s="300"/>
    </row>
    <row r="25" spans="2:7" ht="25.15" customHeight="1">
      <c r="B25" s="50" t="s">
        <v>529</v>
      </c>
      <c r="D25" s="166"/>
      <c r="E25" s="311">
        <f>'EXHIBIT D'!G253-SUM(+'EXHIBIT D'!G227+'EXHIBIT D'!G228+'EXHIBIT D'!G229+'EXHIBIT D'!G230+'EXHIBIT D'!G231)</f>
        <v>72208124</v>
      </c>
    </row>
    <row r="26" spans="2:7" ht="25.15" customHeight="1">
      <c r="B26" s="50" t="s">
        <v>479</v>
      </c>
      <c r="D26" s="166"/>
      <c r="E26" s="299">
        <f>'EXHIBIT D'!G227+'EXHIBIT D'!G228+'EXHIBIT D'!G229+'EXHIBIT D'!G230+'EXHIBIT D'!G231</f>
        <v>0</v>
      </c>
    </row>
    <row r="27" spans="2:7" ht="25.15" customHeight="1">
      <c r="B27" s="166"/>
      <c r="C27" s="166"/>
      <c r="D27" s="166"/>
      <c r="E27" s="300"/>
    </row>
    <row r="28" spans="2:7" ht="25.15" customHeight="1">
      <c r="B28" s="166" t="s">
        <v>18</v>
      </c>
      <c r="C28" s="166"/>
      <c r="D28" s="166"/>
      <c r="E28" s="312">
        <f>+E26+E25</f>
        <v>72208124</v>
      </c>
    </row>
    <row r="29" spans="2:7" ht="25.15" customHeight="1">
      <c r="B29" s="166"/>
      <c r="C29" s="166"/>
      <c r="D29" s="166"/>
      <c r="E29" s="292"/>
    </row>
    <row r="30" spans="2:7" ht="25.15" customHeight="1">
      <c r="B30" s="166" t="s">
        <v>725</v>
      </c>
      <c r="C30" s="166"/>
      <c r="D30" s="166"/>
      <c r="E30" s="292"/>
    </row>
    <row r="31" spans="2:7" ht="25.15" customHeight="1">
      <c r="B31" s="166"/>
      <c r="C31" s="166"/>
      <c r="D31" s="166"/>
      <c r="E31" s="292"/>
    </row>
    <row r="32" spans="2:7" ht="25.15" customHeight="1">
      <c r="B32" s="50" t="s">
        <v>19</v>
      </c>
      <c r="C32" s="166"/>
      <c r="D32" s="293">
        <f>+E23-E28</f>
        <v>30125555</v>
      </c>
      <c r="E32" s="292"/>
    </row>
    <row r="33" spans="2:10" ht="25.15" customHeight="1">
      <c r="B33" s="33" t="s">
        <v>480</v>
      </c>
      <c r="D33" s="294">
        <f>+'EXHIBIT D'!G185</f>
        <v>0</v>
      </c>
      <c r="E33" s="292"/>
      <c r="J33" s="214"/>
    </row>
    <row r="34" spans="2:10" ht="25.15" customHeight="1">
      <c r="B34" s="166"/>
      <c r="C34" s="166"/>
      <c r="D34" s="166"/>
      <c r="E34" s="292"/>
      <c r="J34" s="295"/>
    </row>
    <row r="35" spans="2:10" ht="25.15" customHeight="1">
      <c r="B35" s="50" t="s">
        <v>726</v>
      </c>
      <c r="C35" s="166"/>
      <c r="D35" s="166"/>
      <c r="E35" s="296">
        <f>+D32+D33</f>
        <v>30125555</v>
      </c>
      <c r="J35" s="214"/>
    </row>
    <row r="36" spans="2:10" ht="25.15" customHeight="1">
      <c r="B36" s="50" t="s">
        <v>727</v>
      </c>
      <c r="D36" s="166"/>
      <c r="E36" s="297">
        <f>-'EXHIBIT D'!G269</f>
        <v>22905955</v>
      </c>
      <c r="J36" s="298"/>
    </row>
    <row r="37" spans="2:10" ht="25.15" customHeight="1">
      <c r="D37" s="166"/>
      <c r="E37" s="296"/>
      <c r="J37" s="214"/>
    </row>
    <row r="38" spans="2:10" ht="25.15" customHeight="1">
      <c r="B38" s="166" t="s">
        <v>728</v>
      </c>
      <c r="C38" s="166"/>
      <c r="D38" s="166"/>
      <c r="E38" s="299">
        <f>+E35-E36</f>
        <v>7219600</v>
      </c>
      <c r="J38" s="214"/>
    </row>
    <row r="39" spans="2:10" ht="25.15" customHeight="1">
      <c r="B39" s="166"/>
      <c r="C39" s="166"/>
      <c r="D39" s="166"/>
      <c r="E39" s="300"/>
    </row>
    <row r="40" spans="2:10" ht="25.15" customHeight="1">
      <c r="B40" s="33" t="s">
        <v>729</v>
      </c>
      <c r="C40" s="33"/>
      <c r="D40" s="48"/>
      <c r="E40" s="301">
        <f>'EXHIBIT D'!G258+'EXHIBIT D'!G259+'EXHIBIT D'!G260+'EXHIBIT D'!G261+'EXHIBIT D'!G262+'EXHIBIT D'!G263+'EXHIBIT D'!G264+'EXHIBIT D'!G265</f>
        <v>6107536</v>
      </c>
    </row>
    <row r="41" spans="2:10" ht="25.15" customHeight="1">
      <c r="B41" s="33" t="s">
        <v>652</v>
      </c>
      <c r="D41" s="48"/>
      <c r="E41" s="302"/>
    </row>
    <row r="42" spans="2:10" ht="25.15" customHeight="1">
      <c r="D42" s="166"/>
      <c r="E42" s="303"/>
    </row>
    <row r="43" spans="2:10" ht="25.15" customHeight="1">
      <c r="B43" s="166" t="s">
        <v>475</v>
      </c>
      <c r="C43" s="166"/>
      <c r="D43" s="166"/>
      <c r="E43" s="303"/>
    </row>
    <row r="44" spans="2:10" ht="25.15" customHeight="1">
      <c r="B44" s="166" t="s">
        <v>730</v>
      </c>
      <c r="C44" s="166"/>
      <c r="D44" s="166"/>
      <c r="E44" s="304">
        <f>+E40/E23</f>
        <v>5.9682560616236613E-2</v>
      </c>
    </row>
    <row r="45" spans="2:10" ht="25.15" customHeight="1">
      <c r="B45" s="166"/>
      <c r="C45" s="166"/>
      <c r="D45" s="166"/>
      <c r="E45" s="303"/>
    </row>
    <row r="46" spans="2:10" ht="25.15" customHeight="1">
      <c r="B46" s="166" t="s">
        <v>451</v>
      </c>
      <c r="C46" s="166"/>
      <c r="D46" s="166"/>
      <c r="E46" s="303"/>
    </row>
    <row r="47" spans="2:10" ht="25.15" customHeight="1">
      <c r="B47" s="166"/>
      <c r="C47" s="166"/>
      <c r="D47" s="166"/>
      <c r="E47" s="303"/>
    </row>
    <row r="48" spans="2:10" ht="25.15" customHeight="1">
      <c r="B48" s="166"/>
      <c r="C48" s="166"/>
      <c r="D48" s="166"/>
      <c r="E48" s="303"/>
    </row>
    <row r="49" spans="2:5" ht="25.15" customHeight="1">
      <c r="B49" s="166"/>
      <c r="C49" s="166"/>
      <c r="D49" s="166"/>
      <c r="E49" s="303"/>
    </row>
    <row r="50" spans="2:5" ht="25.15" customHeight="1">
      <c r="B50" s="305"/>
      <c r="C50" s="305"/>
      <c r="D50" s="166"/>
      <c r="E50" s="306"/>
    </row>
    <row r="51" spans="2:5" ht="25.15" customHeight="1">
      <c r="B51" s="166" t="s">
        <v>655</v>
      </c>
      <c r="C51" s="166"/>
      <c r="E51" s="307" t="s">
        <v>20</v>
      </c>
    </row>
    <row r="52" spans="2:5" ht="15.75" customHeight="1">
      <c r="E52" s="308"/>
    </row>
    <row r="53" spans="2:5" ht="15.75" customHeight="1">
      <c r="E53" s="308"/>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60" zoomScaleNormal="60" workbookViewId="0">
      <selection activeCell="F43" sqref="F43"/>
    </sheetView>
  </sheetViews>
  <sheetFormatPr defaultColWidth="9.140625" defaultRowHeight="12.75"/>
  <cols>
    <col min="1" max="1" width="98.28515625" style="316" customWidth="1"/>
    <col min="2" max="2" width="18" style="316" customWidth="1"/>
    <col min="3" max="3" width="16.42578125" style="316" customWidth="1"/>
    <col min="4" max="4" width="15.28515625" style="316" customWidth="1"/>
    <col min="5" max="5" width="22.42578125" style="316" customWidth="1"/>
    <col min="6" max="6" width="20.7109375" style="316" customWidth="1"/>
    <col min="7" max="7" width="18.7109375" style="316" customWidth="1"/>
    <col min="8" max="8" width="20.28515625" style="316" bestFit="1" customWidth="1"/>
    <col min="9" max="9" width="20.28515625" style="316" customWidth="1"/>
    <col min="10" max="10" width="2" style="316" customWidth="1"/>
    <col min="11" max="11" width="21" style="316" bestFit="1" customWidth="1"/>
    <col min="12" max="12" width="19.140625" style="316" customWidth="1"/>
    <col min="13" max="13" width="5.7109375" style="316" customWidth="1"/>
    <col min="14" max="16384" width="9.140625" style="316"/>
  </cols>
  <sheetData>
    <row r="1" spans="1:18" s="546" customFormat="1" ht="22.9" customHeight="1">
      <c r="I1" s="1115" t="s">
        <v>21</v>
      </c>
      <c r="L1" s="1115"/>
      <c r="M1" s="1115"/>
      <c r="N1" s="1115"/>
      <c r="O1" s="1115"/>
      <c r="P1" s="1115"/>
      <c r="Q1" s="1115"/>
      <c r="R1" s="1115"/>
    </row>
    <row r="2" spans="1:18" s="546" customFormat="1" ht="19.899999999999999" customHeight="1"/>
    <row r="3" spans="1:18" s="546" customFormat="1" ht="19.899999999999999" customHeight="1">
      <c r="A3" s="1288" t="s">
        <v>259</v>
      </c>
      <c r="B3" s="1288"/>
      <c r="C3" s="1288"/>
      <c r="D3" s="1288"/>
      <c r="E3" s="1288"/>
      <c r="F3" s="1288"/>
      <c r="G3" s="1288"/>
      <c r="H3" s="1288"/>
      <c r="I3" s="1117"/>
      <c r="J3" s="545"/>
      <c r="K3" s="545"/>
    </row>
    <row r="4" spans="1:18" s="546" customFormat="1" ht="19.899999999999999" customHeight="1">
      <c r="A4" s="1288" t="s">
        <v>444</v>
      </c>
      <c r="B4" s="1288"/>
      <c r="C4" s="1288"/>
      <c r="D4" s="1288"/>
      <c r="E4" s="1288"/>
      <c r="F4" s="1288"/>
      <c r="G4" s="1288"/>
      <c r="H4" s="1288"/>
      <c r="I4" s="1117"/>
    </row>
    <row r="5" spans="1:18" s="546" customFormat="1" ht="19.899999999999999" customHeight="1">
      <c r="A5" s="1288" t="s">
        <v>733</v>
      </c>
      <c r="B5" s="1288"/>
      <c r="C5" s="1288"/>
      <c r="D5" s="1288"/>
      <c r="E5" s="1288"/>
      <c r="F5" s="1288"/>
      <c r="G5" s="1288"/>
      <c r="H5" s="1288"/>
      <c r="I5" s="1117"/>
    </row>
    <row r="6" spans="1:18" s="546" customFormat="1" ht="19.899999999999999" customHeight="1">
      <c r="A6" s="1288" t="s">
        <v>675</v>
      </c>
      <c r="B6" s="1288"/>
      <c r="C6" s="1288"/>
      <c r="D6" s="1288"/>
      <c r="E6" s="1288"/>
      <c r="F6" s="1288"/>
      <c r="G6" s="1288"/>
      <c r="H6" s="1288"/>
      <c r="I6" s="1117"/>
    </row>
    <row r="7" spans="1:18" s="546" customFormat="1" ht="19.899999999999999" customHeight="1">
      <c r="A7" s="1287"/>
      <c r="B7" s="1287"/>
      <c r="C7" s="1287"/>
      <c r="D7" s="1287"/>
      <c r="E7" s="1287"/>
      <c r="F7" s="1287"/>
      <c r="G7" s="1287"/>
      <c r="H7" s="1287"/>
      <c r="I7" s="1118"/>
    </row>
    <row r="8" spans="1:18" s="546" customFormat="1" ht="25.15" customHeight="1" thickBot="1">
      <c r="A8" s="1287"/>
      <c r="B8" s="1291"/>
      <c r="C8" s="1287" t="s">
        <v>15</v>
      </c>
      <c r="D8" s="1292" t="str">
        <f>'CHECK SHEET'!D7</f>
        <v>Florida SouthWestern State College</v>
      </c>
      <c r="E8" s="1292"/>
      <c r="F8" s="1292"/>
      <c r="G8" s="1292"/>
      <c r="H8" s="1292"/>
    </row>
    <row r="9" spans="1:18" s="50" customFormat="1" ht="19.899999999999999" customHeight="1">
      <c r="A9" s="1265"/>
      <c r="B9" s="1265"/>
      <c r="C9" s="1265"/>
      <c r="D9" s="1265"/>
      <c r="E9" s="1265"/>
      <c r="F9" s="1265"/>
      <c r="G9" s="1265"/>
      <c r="H9" s="1265"/>
    </row>
    <row r="10" spans="1:18" s="50" customFormat="1" ht="19.899999999999999" customHeight="1">
      <c r="B10" s="166"/>
      <c r="C10" s="166"/>
      <c r="D10" s="166"/>
      <c r="E10" s="1289"/>
      <c r="F10" s="1290"/>
      <c r="G10" s="1290"/>
    </row>
    <row r="11" spans="1:18" s="50" customFormat="1" ht="19.899999999999999" customHeight="1">
      <c r="B11" s="1119" t="s">
        <v>22</v>
      </c>
      <c r="C11" s="1119"/>
      <c r="D11" s="158"/>
      <c r="E11" s="158"/>
    </row>
    <row r="12" spans="1:18" s="50" customFormat="1" ht="19.899999999999999" customHeight="1" thickBot="1">
      <c r="B12" s="1120" t="s">
        <v>537</v>
      </c>
      <c r="C12" s="1120"/>
      <c r="D12" s="1120"/>
      <c r="E12" s="1120"/>
      <c r="J12" s="166"/>
    </row>
    <row r="13" spans="1:18" s="50" customFormat="1" ht="115.15" customHeight="1" thickBot="1">
      <c r="A13" s="662" t="s">
        <v>256</v>
      </c>
      <c r="B13" s="586" t="s">
        <v>7</v>
      </c>
      <c r="C13" s="1123" t="s">
        <v>377</v>
      </c>
      <c r="D13" s="586" t="s">
        <v>455</v>
      </c>
      <c r="E13" s="586" t="s">
        <v>385</v>
      </c>
      <c r="F13" s="1122" t="s">
        <v>386</v>
      </c>
      <c r="G13" s="586" t="s">
        <v>2</v>
      </c>
      <c r="H13" s="1123" t="s">
        <v>609</v>
      </c>
      <c r="I13" s="33"/>
      <c r="J13" s="48"/>
      <c r="K13" s="33"/>
    </row>
    <row r="14" spans="1:18" s="50" customFormat="1" ht="19.899999999999999" customHeight="1">
      <c r="A14" s="663" t="s">
        <v>656</v>
      </c>
      <c r="B14" s="822">
        <v>91.79</v>
      </c>
      <c r="C14" s="822">
        <v>4.59</v>
      </c>
      <c r="D14" s="822">
        <v>9.18</v>
      </c>
      <c r="E14" s="822">
        <v>13.56</v>
      </c>
      <c r="F14" s="822">
        <v>4.59</v>
      </c>
      <c r="G14" s="664">
        <f>SUM(B14:F14)</f>
        <v>123.71000000000001</v>
      </c>
      <c r="H14" s="712">
        <f>G14*30</f>
        <v>3711.3</v>
      </c>
      <c r="I14" s="33"/>
    </row>
    <row r="15" spans="1:18" s="50" customFormat="1" ht="19.899999999999999" customHeight="1">
      <c r="A15" s="166" t="s">
        <v>674</v>
      </c>
      <c r="B15" s="822">
        <v>81.209999999999994</v>
      </c>
      <c r="C15" s="822">
        <v>4.07</v>
      </c>
      <c r="D15" s="822">
        <v>8.1300000000000008</v>
      </c>
      <c r="E15" s="822">
        <v>13.88</v>
      </c>
      <c r="F15" s="822">
        <v>4.07</v>
      </c>
      <c r="G15" s="664">
        <f>SUM(B15:F15)</f>
        <v>111.35999999999999</v>
      </c>
      <c r="H15" s="665">
        <f>G15*30</f>
        <v>3340.7999999999997</v>
      </c>
      <c r="I15" s="33"/>
    </row>
    <row r="16" spans="1:18" s="50" customFormat="1" ht="19.899999999999999" customHeight="1" thickBot="1">
      <c r="A16" s="48" t="s">
        <v>527</v>
      </c>
      <c r="B16" s="822">
        <v>72.03</v>
      </c>
      <c r="C16" s="822">
        <v>7.21</v>
      </c>
      <c r="D16" s="628"/>
      <c r="E16" s="822">
        <v>0</v>
      </c>
      <c r="F16" s="822">
        <v>3.61</v>
      </c>
      <c r="G16" s="666">
        <f>SUM(B16:F16)</f>
        <v>82.85</v>
      </c>
      <c r="H16" s="703">
        <f>G16*30</f>
        <v>2485.5</v>
      </c>
    </row>
    <row r="17" spans="1:11" s="50" customFormat="1" ht="19.899999999999999" customHeight="1" thickBot="1">
      <c r="A17" s="667"/>
      <c r="B17" s="701"/>
      <c r="C17" s="713"/>
      <c r="D17" s="713"/>
      <c r="E17" s="713"/>
      <c r="F17" s="713"/>
      <c r="G17" s="711"/>
      <c r="H17" s="668"/>
    </row>
    <row r="18" spans="1:11" s="50" customFormat="1" ht="64.900000000000006" customHeight="1" thickBot="1">
      <c r="A18" s="700" t="s">
        <v>256</v>
      </c>
      <c r="B18" s="681" t="s">
        <v>504</v>
      </c>
      <c r="C18" s="718"/>
      <c r="D18" s="718"/>
      <c r="E18" s="718"/>
      <c r="F18" s="718"/>
      <c r="G18" s="710" t="s">
        <v>2</v>
      </c>
      <c r="H18" s="1123" t="s">
        <v>610</v>
      </c>
    </row>
    <row r="19" spans="1:11" s="50" customFormat="1" ht="19.899999999999999" customHeight="1">
      <c r="A19" s="166" t="s">
        <v>383</v>
      </c>
      <c r="B19" s="822">
        <v>0</v>
      </c>
      <c r="C19" s="715"/>
      <c r="D19" s="715"/>
      <c r="E19" s="715"/>
      <c r="F19" s="715"/>
      <c r="G19" s="664">
        <f>B19</f>
        <v>0</v>
      </c>
      <c r="H19" s="707">
        <f>G19*3</f>
        <v>0</v>
      </c>
    </row>
    <row r="20" spans="1:11" s="50" customFormat="1" ht="19.899999999999999" customHeight="1" thickBot="1">
      <c r="A20" s="166" t="s">
        <v>452</v>
      </c>
      <c r="B20" s="823">
        <v>0</v>
      </c>
      <c r="C20" s="716"/>
      <c r="D20" s="716"/>
      <c r="E20" s="716"/>
      <c r="F20" s="716"/>
      <c r="G20" s="669">
        <f>B20</f>
        <v>0</v>
      </c>
      <c r="H20" s="708">
        <f>G20*3</f>
        <v>0</v>
      </c>
    </row>
    <row r="21" spans="1:11" s="50" customFormat="1" ht="19.899999999999999" customHeight="1" thickBot="1">
      <c r="A21" s="670"/>
      <c r="B21" s="701"/>
      <c r="C21" s="667"/>
      <c r="D21" s="667"/>
      <c r="E21" s="667"/>
      <c r="F21" s="667"/>
      <c r="G21" s="711"/>
      <c r="H21" s="668"/>
    </row>
    <row r="22" spans="1:11" s="50" customFormat="1" ht="19.899999999999999" customHeight="1">
      <c r="A22" s="166" t="s">
        <v>388</v>
      </c>
      <c r="B22" s="824">
        <v>0</v>
      </c>
      <c r="C22" s="714"/>
      <c r="D22" s="714"/>
      <c r="E22" s="714"/>
      <c r="F22" s="714"/>
      <c r="G22" s="671">
        <f>B22</f>
        <v>0</v>
      </c>
      <c r="H22" s="709">
        <f>G22*2</f>
        <v>0</v>
      </c>
    </row>
    <row r="23" spans="1:11" s="50" customFormat="1" ht="19.899999999999999" customHeight="1" thickBot="1">
      <c r="A23" s="166" t="s">
        <v>453</v>
      </c>
      <c r="B23" s="825">
        <v>0</v>
      </c>
      <c r="C23" s="716"/>
      <c r="D23" s="716"/>
      <c r="E23" s="716"/>
      <c r="F23" s="716"/>
      <c r="G23" s="672">
        <f>B23</f>
        <v>0</v>
      </c>
      <c r="H23" s="703">
        <f>G23*2</f>
        <v>0</v>
      </c>
      <c r="J23" s="673"/>
      <c r="K23" s="673"/>
    </row>
    <row r="24" spans="1:11" s="50" customFormat="1" ht="25.15" customHeight="1">
      <c r="B24" s="673"/>
      <c r="C24" s="674"/>
      <c r="D24" s="674"/>
      <c r="E24" s="674"/>
      <c r="F24" s="674"/>
      <c r="G24" s="673"/>
      <c r="H24" s="673"/>
      <c r="I24" s="673"/>
      <c r="J24" s="673"/>
      <c r="K24" s="673"/>
    </row>
    <row r="25" spans="1:11" s="50" customFormat="1" ht="25.15" customHeight="1">
      <c r="A25" s="166"/>
      <c r="B25" s="673"/>
      <c r="C25" s="673"/>
      <c r="D25" s="673"/>
      <c r="E25" s="673"/>
      <c r="F25" s="673"/>
      <c r="G25" s="673"/>
      <c r="H25" s="673"/>
      <c r="I25" s="673"/>
      <c r="J25" s="673"/>
      <c r="K25" s="673"/>
    </row>
    <row r="26" spans="1:11" s="50" customFormat="1" ht="19.899999999999999" customHeight="1">
      <c r="B26" s="1076" t="s">
        <v>586</v>
      </c>
      <c r="C26" s="1076"/>
      <c r="D26" s="1076"/>
      <c r="E26" s="1076"/>
      <c r="F26" s="673"/>
      <c r="G26" s="673"/>
      <c r="H26" s="673"/>
      <c r="I26" s="673"/>
      <c r="J26" s="673"/>
      <c r="K26" s="673"/>
    </row>
    <row r="27" spans="1:11" s="50" customFormat="1" ht="19.899999999999999" customHeight="1" thickBot="1">
      <c r="A27" s="663"/>
      <c r="B27" s="1076" t="s">
        <v>537</v>
      </c>
      <c r="C27" s="1076"/>
      <c r="D27" s="1076"/>
      <c r="E27" s="1076"/>
      <c r="F27" s="673"/>
      <c r="G27" s="673"/>
      <c r="H27" s="673"/>
      <c r="I27" s="673"/>
    </row>
    <row r="28" spans="1:11" s="50" customFormat="1" ht="112.15" customHeight="1" thickBot="1">
      <c r="A28" s="662" t="s">
        <v>256</v>
      </c>
      <c r="B28" s="675" t="s">
        <v>7</v>
      </c>
      <c r="C28" s="586" t="s">
        <v>376</v>
      </c>
      <c r="D28" s="586" t="s">
        <v>377</v>
      </c>
      <c r="E28" s="586" t="s">
        <v>455</v>
      </c>
      <c r="F28" s="586" t="s">
        <v>385</v>
      </c>
      <c r="G28" s="1122" t="s">
        <v>386</v>
      </c>
      <c r="H28" s="586" t="s">
        <v>2</v>
      </c>
      <c r="I28" s="1123" t="s">
        <v>609</v>
      </c>
      <c r="J28" s="166"/>
      <c r="K28" s="166"/>
    </row>
    <row r="29" spans="1:11" s="50" customFormat="1" ht="19.899999999999999" customHeight="1">
      <c r="A29" s="663" t="str">
        <f t="shared" ref="A29:B31" si="0">A14</f>
        <v>UPPER LEVEL - BACCALAUREATE</v>
      </c>
      <c r="B29" s="676">
        <f t="shared" si="0"/>
        <v>91.79</v>
      </c>
      <c r="C29" s="826">
        <v>511.41</v>
      </c>
      <c r="D29" s="826">
        <v>30.16</v>
      </c>
      <c r="E29" s="699">
        <f>D14</f>
        <v>9.18</v>
      </c>
      <c r="F29" s="826">
        <v>120.64</v>
      </c>
      <c r="G29" s="826">
        <v>30.16</v>
      </c>
      <c r="H29" s="677">
        <f>SUM(B29:G29)</f>
        <v>793.33999999999992</v>
      </c>
      <c r="I29" s="702">
        <f>H29*30</f>
        <v>23800.199999999997</v>
      </c>
      <c r="J29" s="33"/>
    </row>
    <row r="30" spans="1:11" s="50" customFormat="1" ht="19.899999999999999" customHeight="1">
      <c r="A30" s="166" t="str">
        <f t="shared" si="0"/>
        <v>LOWER LEVEL - CREDIT (A &amp; P, PSV, DEVELOPMENTAL EDUCATION AND EPI)</v>
      </c>
      <c r="B30" s="786">
        <f t="shared" si="0"/>
        <v>81.209999999999994</v>
      </c>
      <c r="C30" s="826">
        <v>243.79</v>
      </c>
      <c r="D30" s="826">
        <v>16.25</v>
      </c>
      <c r="E30" s="678">
        <f>D15</f>
        <v>8.1300000000000008</v>
      </c>
      <c r="F30" s="826">
        <v>65</v>
      </c>
      <c r="G30" s="826">
        <v>16.25</v>
      </c>
      <c r="H30" s="664">
        <f>SUM(B30:G30)</f>
        <v>430.63</v>
      </c>
      <c r="I30" s="665">
        <f>H30*30</f>
        <v>12918.9</v>
      </c>
    </row>
    <row r="31" spans="1:11" s="50" customFormat="1" ht="19.899999999999999" customHeight="1" thickBot="1">
      <c r="A31" s="166" t="str">
        <f t="shared" si="0"/>
        <v>CAREER CERTIFICATE AND APPLIED TECHNOLOGY DIPLOMA</v>
      </c>
      <c r="B31" s="785">
        <f t="shared" si="0"/>
        <v>72.03</v>
      </c>
      <c r="C31" s="826">
        <v>216.08</v>
      </c>
      <c r="D31" s="826">
        <v>28.82</v>
      </c>
      <c r="E31" s="628"/>
      <c r="F31" s="826">
        <v>0</v>
      </c>
      <c r="G31" s="826">
        <v>14.41</v>
      </c>
      <c r="H31" s="666">
        <f>SUM(B31:G31)</f>
        <v>331.34000000000003</v>
      </c>
      <c r="I31" s="703">
        <f>H31*30</f>
        <v>9940.2000000000007</v>
      </c>
    </row>
    <row r="32" spans="1:11" s="50" customFormat="1" ht="19.899999999999999" customHeight="1" thickBot="1">
      <c r="A32" s="670"/>
      <c r="B32" s="667"/>
      <c r="C32" s="667"/>
      <c r="D32" s="667"/>
      <c r="E32" s="667"/>
      <c r="F32" s="667"/>
      <c r="G32" s="667"/>
      <c r="H32" s="667"/>
      <c r="I32" s="679"/>
    </row>
    <row r="33" spans="1:11" s="50" customFormat="1" ht="64.900000000000006" customHeight="1" thickBot="1">
      <c r="A33" s="680" t="s">
        <v>256</v>
      </c>
      <c r="B33" s="681" t="s">
        <v>504</v>
      </c>
      <c r="C33" s="717"/>
      <c r="D33" s="717"/>
      <c r="E33" s="717"/>
      <c r="F33" s="717"/>
      <c r="G33" s="717"/>
      <c r="H33" s="586" t="s">
        <v>2</v>
      </c>
      <c r="I33" s="1123" t="s">
        <v>610</v>
      </c>
      <c r="J33" s="33"/>
      <c r="K33" s="33"/>
    </row>
    <row r="34" spans="1:11" s="50" customFormat="1" ht="19.899999999999999" customHeight="1">
      <c r="A34" s="48" t="str">
        <f>A19</f>
        <v>VOCATIONAL PREPARATORY (PER TERM)</v>
      </c>
      <c r="B34" s="682">
        <f>B19</f>
        <v>0</v>
      </c>
      <c r="C34" s="715"/>
      <c r="D34" s="715"/>
      <c r="E34" s="715"/>
      <c r="F34" s="715"/>
      <c r="G34" s="715"/>
      <c r="H34" s="683">
        <f>B34</f>
        <v>0</v>
      </c>
      <c r="I34" s="704">
        <f>H34*3</f>
        <v>0</v>
      </c>
      <c r="J34" s="684"/>
      <c r="K34" s="684"/>
    </row>
    <row r="35" spans="1:11" s="50" customFormat="1" ht="19.899999999999999" customHeight="1" thickBot="1">
      <c r="A35" s="48" t="str">
        <f>A20</f>
        <v>ADULT GENERAL EDUCATION AND SECONDARY (PER TERM)</v>
      </c>
      <c r="B35" s="685">
        <f>B20</f>
        <v>0</v>
      </c>
      <c r="C35" s="716"/>
      <c r="D35" s="716"/>
      <c r="E35" s="716"/>
      <c r="F35" s="716"/>
      <c r="G35" s="716"/>
      <c r="H35" s="686">
        <f>B35</f>
        <v>0</v>
      </c>
      <c r="I35" s="705">
        <f>H35*3</f>
        <v>0</v>
      </c>
      <c r="J35" s="33"/>
      <c r="K35" s="33"/>
    </row>
    <row r="36" spans="1:11" s="50" customFormat="1" ht="19.899999999999999" customHeight="1" thickBot="1">
      <c r="A36" s="670"/>
      <c r="B36" s="843"/>
      <c r="C36" s="667"/>
      <c r="D36" s="667"/>
      <c r="E36" s="667"/>
      <c r="F36" s="667"/>
      <c r="G36" s="667"/>
      <c r="H36" s="843"/>
      <c r="I36" s="844"/>
      <c r="J36" s="33"/>
      <c r="K36" s="33"/>
    </row>
    <row r="37" spans="1:11" s="50" customFormat="1" ht="19.899999999999999" customHeight="1">
      <c r="A37" s="48" t="str">
        <f>A22</f>
        <v>VOCATIONAL PREPARATORY (PER HALF YEAR)</v>
      </c>
      <c r="B37" s="682">
        <f>B22</f>
        <v>0</v>
      </c>
      <c r="C37" s="714"/>
      <c r="D37" s="714"/>
      <c r="E37" s="714"/>
      <c r="F37" s="714"/>
      <c r="G37" s="714"/>
      <c r="H37" s="677">
        <f>B37</f>
        <v>0</v>
      </c>
      <c r="I37" s="702">
        <f>H37*2</f>
        <v>0</v>
      </c>
      <c r="J37" s="33"/>
      <c r="K37" s="33"/>
    </row>
    <row r="38" spans="1:11" s="50" customFormat="1" ht="19.899999999999999" customHeight="1" thickBot="1">
      <c r="A38" s="48" t="str">
        <f>A23</f>
        <v>ADULT GENERAL EDUCATION AND SECONDARY (PER HALF YEAR)</v>
      </c>
      <c r="B38" s="685">
        <f>B23</f>
        <v>0</v>
      </c>
      <c r="C38" s="716"/>
      <c r="D38" s="716"/>
      <c r="E38" s="716"/>
      <c r="F38" s="716"/>
      <c r="G38" s="716"/>
      <c r="H38" s="687">
        <f>B38</f>
        <v>0</v>
      </c>
      <c r="I38" s="706">
        <f>H38*2</f>
        <v>0</v>
      </c>
      <c r="J38" s="33"/>
      <c r="K38" s="33"/>
    </row>
    <row r="39" spans="1:11" s="50" customFormat="1" ht="19.899999999999999" customHeight="1">
      <c r="A39" s="48"/>
      <c r="B39" s="688" t="s">
        <v>268</v>
      </c>
      <c r="C39" s="33"/>
      <c r="D39" s="33"/>
      <c r="E39" s="33"/>
      <c r="F39" s="33"/>
      <c r="G39" s="33"/>
      <c r="H39" s="33"/>
      <c r="I39" s="33"/>
      <c r="J39" s="33"/>
      <c r="K39" s="33"/>
    </row>
    <row r="40" spans="1:11" ht="35.450000000000003" customHeight="1">
      <c r="A40" s="319"/>
      <c r="B40" s="1293" t="s">
        <v>746</v>
      </c>
      <c r="C40" s="1293"/>
      <c r="D40" s="1293"/>
      <c r="E40" s="1293"/>
      <c r="F40" s="1293"/>
      <c r="G40" s="1293"/>
      <c r="H40" s="1293"/>
      <c r="I40" s="1293"/>
      <c r="J40" s="313"/>
    </row>
    <row r="41" spans="1:11" ht="20.25" customHeight="1">
      <c r="A41" s="315"/>
      <c r="B41" s="315"/>
      <c r="C41" s="315"/>
      <c r="D41" s="315"/>
      <c r="E41" s="315"/>
      <c r="F41" s="315"/>
      <c r="G41" s="315"/>
      <c r="H41" s="315"/>
      <c r="I41" s="315"/>
    </row>
    <row r="42" spans="1:11" ht="20.25" customHeight="1">
      <c r="A42" s="315"/>
      <c r="B42" s="315"/>
      <c r="C42" s="315"/>
      <c r="D42" s="315"/>
      <c r="E42" s="315"/>
      <c r="F42" s="315"/>
      <c r="G42" s="315"/>
      <c r="H42" s="315"/>
      <c r="I42" s="315"/>
    </row>
    <row r="43" spans="1:11" ht="20.25" customHeight="1">
      <c r="A43" s="315"/>
      <c r="B43" s="315"/>
      <c r="C43" s="315"/>
      <c r="D43" s="315"/>
      <c r="E43" s="315"/>
      <c r="F43" s="315"/>
      <c r="G43" s="315"/>
      <c r="H43" s="315"/>
      <c r="I43" s="315"/>
    </row>
    <row r="44" spans="1:11" ht="20.25" customHeight="1">
      <c r="A44" s="315"/>
      <c r="B44" s="315"/>
      <c r="C44" s="315"/>
      <c r="D44" s="315"/>
      <c r="E44" s="315"/>
      <c r="F44" s="315"/>
      <c r="G44" s="315"/>
      <c r="H44" s="315"/>
      <c r="I44" s="315"/>
    </row>
    <row r="45" spans="1:11" ht="20.25" customHeight="1">
      <c r="A45" s="315"/>
      <c r="B45" s="315"/>
      <c r="C45" s="315"/>
      <c r="D45" s="315"/>
      <c r="E45" s="315"/>
      <c r="F45" s="315"/>
      <c r="G45" s="315"/>
      <c r="H45" s="315"/>
      <c r="I45" s="315"/>
    </row>
    <row r="46" spans="1:11" ht="20.25" customHeight="1">
      <c r="A46" s="315"/>
      <c r="B46" s="315"/>
      <c r="C46" s="315"/>
      <c r="D46" s="315"/>
      <c r="E46" s="315"/>
      <c r="F46" s="315"/>
      <c r="G46" s="315"/>
      <c r="H46" s="315"/>
      <c r="I46" s="315"/>
    </row>
    <row r="47" spans="1:11" ht="20.25" customHeight="1">
      <c r="A47" s="315"/>
      <c r="B47" s="315"/>
      <c r="C47" s="315"/>
      <c r="D47" s="315"/>
      <c r="E47" s="315"/>
      <c r="F47" s="315"/>
      <c r="G47" s="315"/>
      <c r="H47" s="315"/>
      <c r="I47" s="315"/>
    </row>
    <row r="48" spans="1:11" ht="20.25" customHeight="1">
      <c r="A48" s="315"/>
      <c r="B48" s="315"/>
      <c r="C48" s="315"/>
      <c r="D48" s="315"/>
      <c r="E48" s="315"/>
      <c r="F48" s="315"/>
      <c r="G48" s="315"/>
      <c r="H48" s="315"/>
      <c r="I48" s="315"/>
    </row>
    <row r="49" spans="1:9" ht="20.25" customHeight="1">
      <c r="A49" s="315"/>
      <c r="B49" s="315"/>
      <c r="C49" s="315"/>
      <c r="D49" s="315"/>
      <c r="E49" s="315"/>
      <c r="F49" s="315"/>
      <c r="G49" s="315"/>
      <c r="H49" s="315"/>
      <c r="I49" s="315"/>
    </row>
    <row r="50" spans="1:9" ht="20.25" customHeight="1">
      <c r="A50" s="315"/>
      <c r="B50" s="315"/>
      <c r="C50" s="315"/>
      <c r="D50" s="315"/>
      <c r="E50" s="315"/>
      <c r="F50" s="315"/>
      <c r="G50" s="315"/>
      <c r="H50" s="315"/>
      <c r="I50" s="315"/>
    </row>
    <row r="51" spans="1:9" ht="20.25" customHeight="1">
      <c r="A51" s="315"/>
      <c r="B51" s="315"/>
      <c r="C51" s="315"/>
      <c r="D51" s="315"/>
      <c r="E51" s="315"/>
      <c r="F51" s="315"/>
      <c r="G51" s="315"/>
      <c r="H51" s="315"/>
      <c r="I51" s="315"/>
    </row>
    <row r="52" spans="1:9" ht="20.25" customHeight="1">
      <c r="A52" s="315"/>
      <c r="B52" s="315"/>
      <c r="C52" s="315"/>
      <c r="D52" s="315"/>
      <c r="E52" s="315"/>
      <c r="F52" s="315"/>
      <c r="G52" s="315"/>
      <c r="H52" s="315"/>
      <c r="I52" s="315"/>
    </row>
    <row r="53" spans="1:9" ht="20.25" customHeight="1">
      <c r="B53" s="315"/>
      <c r="C53" s="315"/>
      <c r="D53" s="315"/>
      <c r="E53" s="315"/>
      <c r="F53" s="315"/>
      <c r="G53" s="315"/>
      <c r="H53" s="315"/>
      <c r="I53" s="31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VX7gR5fffj4nMmylcU+E0F92zGRolU1at/eQEGlw1yrh87Kd6SmN3iBNowdsQQhiFHfUYv9RogSZYW711dq7gQ==" saltValue="ENg54uBcbsznT6B2IBDO5A=="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25" right="0.25" top="0.75" bottom="0.75" header="0.3" footer="0.3"/>
  <pageSetup scale="45"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C6" sqref="C6"/>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4" t="s">
        <v>23</v>
      </c>
    </row>
    <row r="2" spans="1:10" ht="19.899999999999999" customHeight="1">
      <c r="A2" s="1295" t="s">
        <v>259</v>
      </c>
      <c r="B2" s="1295"/>
      <c r="C2" s="1295"/>
      <c r="D2" s="1295"/>
      <c r="E2" s="1295"/>
      <c r="F2" s="1295"/>
      <c r="G2" s="1121"/>
      <c r="H2" s="1121"/>
      <c r="I2" s="318"/>
    </row>
    <row r="3" spans="1:10" ht="19.899999999999999" customHeight="1">
      <c r="A3" s="1295" t="s">
        <v>734</v>
      </c>
      <c r="B3" s="1295"/>
      <c r="C3" s="1295"/>
      <c r="D3" s="1295"/>
      <c r="E3" s="1295"/>
      <c r="F3" s="1295"/>
      <c r="G3" s="1121"/>
      <c r="H3" s="1121"/>
    </row>
    <row r="4" spans="1:10" ht="19.899999999999999" customHeight="1">
      <c r="A4" s="648"/>
      <c r="B4" s="648"/>
      <c r="C4" s="648"/>
      <c r="D4" s="648"/>
      <c r="E4" s="648"/>
      <c r="F4" s="648"/>
      <c r="G4" s="645"/>
      <c r="H4" s="547"/>
    </row>
    <row r="5" spans="1:10" ht="27.6" customHeight="1" thickBot="1">
      <c r="A5" s="1295" t="s">
        <v>233</v>
      </c>
      <c r="B5" s="1296" t="str">
        <f>'CHECK SHEET'!D7</f>
        <v>Florida SouthWestern State College</v>
      </c>
      <c r="C5" s="1296"/>
      <c r="D5" s="1296"/>
      <c r="E5" s="1296"/>
      <c r="F5" s="1296"/>
      <c r="G5" s="1294"/>
      <c r="H5" s="1294"/>
    </row>
    <row r="6" spans="1:10" ht="19.899999999999999" customHeight="1">
      <c r="A6" s="645"/>
      <c r="B6" s="645"/>
      <c r="C6" s="645"/>
      <c r="D6" s="645"/>
      <c r="E6" s="645"/>
      <c r="F6" s="645"/>
      <c r="G6" s="1294"/>
      <c r="H6" s="1294"/>
    </row>
    <row r="7" spans="1:10" ht="19.899999999999999" customHeight="1">
      <c r="A7" s="1119" t="s">
        <v>672</v>
      </c>
      <c r="B7" s="1119"/>
      <c r="C7" s="1119"/>
      <c r="D7" s="1119"/>
      <c r="E7" s="1119"/>
      <c r="F7" s="1119"/>
      <c r="G7" s="1119"/>
      <c r="H7" s="1119"/>
    </row>
    <row r="8" spans="1:10" ht="19.899999999999999" customHeight="1" thickBot="1">
      <c r="C8" s="48"/>
    </row>
    <row r="9" spans="1:10" ht="75" customHeight="1" thickBot="1">
      <c r="A9" s="548" t="s">
        <v>539</v>
      </c>
      <c r="B9" s="548" t="s">
        <v>25</v>
      </c>
      <c r="C9" s="562" t="s">
        <v>560</v>
      </c>
      <c r="D9" s="562" t="s">
        <v>561</v>
      </c>
      <c r="E9" s="562" t="s">
        <v>677</v>
      </c>
      <c r="F9" s="562" t="s">
        <v>528</v>
      </c>
      <c r="G9" s="562" t="s">
        <v>562</v>
      </c>
      <c r="H9" s="563" t="s">
        <v>563</v>
      </c>
      <c r="I9" s="632"/>
      <c r="J9" s="214"/>
    </row>
    <row r="10" spans="1:10" ht="19.899999999999999" customHeight="1">
      <c r="A10" s="564" t="s">
        <v>7</v>
      </c>
      <c r="B10" s="565" t="s">
        <v>436</v>
      </c>
      <c r="C10" s="566">
        <v>40101</v>
      </c>
      <c r="D10" s="827">
        <f>1662245/G10</f>
        <v>18109.216690271271</v>
      </c>
      <c r="E10" s="828">
        <v>0</v>
      </c>
      <c r="F10" s="567">
        <f t="shared" ref="F10:F15" si="0">+D10-E10</f>
        <v>18109.216690271271</v>
      </c>
      <c r="G10" s="567">
        <f>'EXHIBIT B'!B14</f>
        <v>91.79</v>
      </c>
      <c r="H10" s="568">
        <f>ROUND(+F10*G10,0)</f>
        <v>1662245</v>
      </c>
      <c r="I10" s="214"/>
      <c r="J10" s="214"/>
    </row>
    <row r="11" spans="1:10" ht="19.899999999999999" customHeight="1">
      <c r="A11" s="569" t="s">
        <v>7</v>
      </c>
      <c r="B11" s="569" t="s">
        <v>338</v>
      </c>
      <c r="C11" s="570" t="s">
        <v>26</v>
      </c>
      <c r="D11" s="827">
        <f>18785484/G11</f>
        <v>231319.83745844109</v>
      </c>
      <c r="E11" s="827">
        <v>0</v>
      </c>
      <c r="F11" s="571">
        <f t="shared" si="0"/>
        <v>231319.83745844109</v>
      </c>
      <c r="G11" s="571">
        <f>+'EXHIBIT B'!B15</f>
        <v>81.209999999999994</v>
      </c>
      <c r="H11" s="572">
        <f t="shared" ref="H11:H15" si="1">ROUND(+F11*G11,0)</f>
        <v>18785484</v>
      </c>
      <c r="I11" s="214"/>
      <c r="J11" s="214"/>
    </row>
    <row r="12" spans="1:10" ht="19.899999999999999" customHeight="1">
      <c r="A12" s="569" t="s">
        <v>7</v>
      </c>
      <c r="B12" s="569" t="s">
        <v>27</v>
      </c>
      <c r="C12" s="570" t="s">
        <v>28</v>
      </c>
      <c r="D12" s="829">
        <f>2000791/G12</f>
        <v>24637.249107252803</v>
      </c>
      <c r="E12" s="829">
        <v>0</v>
      </c>
      <c r="F12" s="571">
        <f t="shared" si="0"/>
        <v>24637.249107252803</v>
      </c>
      <c r="G12" s="571">
        <f>+'EXHIBIT B'!B15</f>
        <v>81.209999999999994</v>
      </c>
      <c r="H12" s="572">
        <f t="shared" si="1"/>
        <v>2000791</v>
      </c>
      <c r="I12" s="214"/>
      <c r="J12" s="214"/>
    </row>
    <row r="13" spans="1:10" ht="19.899999999999999" customHeight="1">
      <c r="A13" s="569" t="s">
        <v>7</v>
      </c>
      <c r="B13" s="569" t="s">
        <v>527</v>
      </c>
      <c r="C13" s="570" t="s">
        <v>29</v>
      </c>
      <c r="D13" s="830">
        <f>55672/G13</f>
        <v>772.9001804803554</v>
      </c>
      <c r="E13" s="830">
        <v>0</v>
      </c>
      <c r="F13" s="571">
        <f t="shared" si="0"/>
        <v>772.9001804803554</v>
      </c>
      <c r="G13" s="571">
        <f>+'EXHIBIT B'!B16</f>
        <v>72.03</v>
      </c>
      <c r="H13" s="572">
        <f t="shared" si="1"/>
        <v>55672</v>
      </c>
      <c r="I13" s="214"/>
      <c r="J13" s="214"/>
    </row>
    <row r="14" spans="1:10" ht="19.899999999999999" customHeight="1">
      <c r="A14" s="569" t="s">
        <v>7</v>
      </c>
      <c r="B14" s="569" t="s">
        <v>462</v>
      </c>
      <c r="C14" s="570" t="s">
        <v>30</v>
      </c>
      <c r="D14" s="827">
        <f>664663/G14</f>
        <v>8184.4969831301569</v>
      </c>
      <c r="E14" s="827">
        <v>0</v>
      </c>
      <c r="F14" s="571">
        <f t="shared" si="0"/>
        <v>8184.4969831301569</v>
      </c>
      <c r="G14" s="571">
        <f>+'EXHIBIT B'!B15</f>
        <v>81.209999999999994</v>
      </c>
      <c r="H14" s="572">
        <f t="shared" si="1"/>
        <v>664663</v>
      </c>
      <c r="I14" s="214"/>
      <c r="J14" s="214"/>
    </row>
    <row r="15" spans="1:10" ht="19.899999999999999" customHeight="1" thickBot="1">
      <c r="A15" s="573" t="s">
        <v>7</v>
      </c>
      <c r="B15" s="573" t="s">
        <v>246</v>
      </c>
      <c r="C15" s="574">
        <v>40160</v>
      </c>
      <c r="D15" s="831">
        <v>0</v>
      </c>
      <c r="E15" s="831">
        <v>0</v>
      </c>
      <c r="F15" s="575">
        <f t="shared" si="0"/>
        <v>0</v>
      </c>
      <c r="G15" s="575">
        <f>+'EXHIBIT B'!B15</f>
        <v>81.209999999999994</v>
      </c>
      <c r="H15" s="576">
        <f t="shared" si="1"/>
        <v>0</v>
      </c>
      <c r="I15" s="214"/>
      <c r="J15" s="214"/>
    </row>
    <row r="16" spans="1:10" ht="24.95" customHeight="1" thickBot="1">
      <c r="A16" s="577"/>
      <c r="B16" s="577"/>
      <c r="C16" s="577"/>
      <c r="D16" s="578"/>
      <c r="E16" s="578"/>
      <c r="F16" s="579"/>
      <c r="G16" s="579"/>
      <c r="H16" s="580"/>
      <c r="I16" s="214"/>
      <c r="J16" s="214"/>
    </row>
    <row r="17" spans="1:10" ht="24.95" customHeight="1" thickBot="1">
      <c r="A17" s="581"/>
      <c r="B17" s="582" t="s">
        <v>260</v>
      </c>
      <c r="C17" s="582"/>
      <c r="D17" s="583">
        <f>SUM(D10:D15)</f>
        <v>283023.70041957567</v>
      </c>
      <c r="E17" s="583">
        <f>SUM(E10:E15)</f>
        <v>0</v>
      </c>
      <c r="F17" s="584">
        <f>SUM(F10:F15)</f>
        <v>283023.70041957567</v>
      </c>
      <c r="G17" s="584"/>
      <c r="H17" s="585">
        <f>SUM(H10:H15)</f>
        <v>23168855</v>
      </c>
      <c r="I17" s="214"/>
      <c r="J17" s="214"/>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2">
        <f>130643/E19</f>
        <v>255.4564830566473</v>
      </c>
      <c r="E19" s="589">
        <f>'EXHIBIT B'!C29</f>
        <v>511.41</v>
      </c>
      <c r="F19" s="590">
        <f t="shared" ref="F19:F24" si="2">ROUND(+D19*E19,0)</f>
        <v>130643</v>
      </c>
      <c r="G19" s="591"/>
      <c r="H19" s="591"/>
    </row>
    <row r="20" spans="1:10" ht="19.899999999999999" customHeight="1">
      <c r="A20" s="592" t="s">
        <v>376</v>
      </c>
      <c r="B20" s="592" t="s">
        <v>338</v>
      </c>
      <c r="C20" s="593" t="s">
        <v>34</v>
      </c>
      <c r="D20" s="833">
        <f>3032237/E20</f>
        <v>12437.905574469831</v>
      </c>
      <c r="E20" s="594">
        <f>+'EXHIBIT B'!C30</f>
        <v>243.79</v>
      </c>
      <c r="F20" s="595">
        <f t="shared" si="2"/>
        <v>3032237</v>
      </c>
      <c r="G20" s="596"/>
      <c r="H20" s="596"/>
    </row>
    <row r="21" spans="1:10" ht="19.899999999999999" customHeight="1">
      <c r="A21" s="592" t="s">
        <v>376</v>
      </c>
      <c r="B21" s="592" t="s">
        <v>27</v>
      </c>
      <c r="C21" s="593" t="s">
        <v>35</v>
      </c>
      <c r="D21" s="833">
        <f>234447/E21</f>
        <v>961.6760326510522</v>
      </c>
      <c r="E21" s="594">
        <f>+'EXHIBIT B'!C30</f>
        <v>243.79</v>
      </c>
      <c r="F21" s="595">
        <f t="shared" si="2"/>
        <v>234447</v>
      </c>
      <c r="G21" s="596"/>
      <c r="H21" s="596"/>
    </row>
    <row r="22" spans="1:10" ht="19.899999999999999" customHeight="1">
      <c r="A22" s="592" t="s">
        <v>376</v>
      </c>
      <c r="B22" s="592" t="s">
        <v>527</v>
      </c>
      <c r="C22" s="593" t="s">
        <v>36</v>
      </c>
      <c r="D22" s="833">
        <f>11634/E22</f>
        <v>53.841169937060343</v>
      </c>
      <c r="E22" s="594">
        <f>+'EXHIBIT B'!C31</f>
        <v>216.08</v>
      </c>
      <c r="F22" s="595">
        <f t="shared" si="2"/>
        <v>11634</v>
      </c>
      <c r="G22" s="596"/>
      <c r="H22" s="596"/>
    </row>
    <row r="23" spans="1:10" ht="19.899999999999999" customHeight="1">
      <c r="A23" s="592" t="s">
        <v>376</v>
      </c>
      <c r="B23" s="592" t="s">
        <v>462</v>
      </c>
      <c r="C23" s="593" t="s">
        <v>37</v>
      </c>
      <c r="D23" s="833">
        <f>189015/E23</f>
        <v>775.31892202305266</v>
      </c>
      <c r="E23" s="594">
        <f>+'EXHIBIT B'!C30</f>
        <v>243.79</v>
      </c>
      <c r="F23" s="595">
        <f t="shared" si="2"/>
        <v>189015</v>
      </c>
      <c r="G23" s="596"/>
      <c r="H23" s="596"/>
    </row>
    <row r="24" spans="1:10" ht="19.899999999999999" customHeight="1" thickBot="1">
      <c r="A24" s="597" t="s">
        <v>376</v>
      </c>
      <c r="B24" s="597" t="s">
        <v>246</v>
      </c>
      <c r="C24" s="598">
        <v>40360</v>
      </c>
      <c r="D24" s="834">
        <v>0</v>
      </c>
      <c r="E24" s="599">
        <f>+'EXHIBIT B'!C30</f>
        <v>243.79</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14484.198182137643</v>
      </c>
      <c r="E26" s="606"/>
      <c r="F26" s="607">
        <f>SUM(F19:F24)</f>
        <v>3597976</v>
      </c>
      <c r="G26" s="608"/>
      <c r="H26" s="608"/>
    </row>
    <row r="27" spans="1:10" ht="19.899999999999999" customHeight="1" thickBot="1">
      <c r="A27" s="609" t="s">
        <v>565</v>
      </c>
      <c r="B27" s="609"/>
      <c r="C27" s="609"/>
      <c r="D27" s="609"/>
      <c r="E27" s="609"/>
      <c r="F27" s="610"/>
      <c r="G27" s="611"/>
      <c r="H27" s="612">
        <f>H17+F26</f>
        <v>26766831</v>
      </c>
    </row>
    <row r="28" spans="1:10" ht="24.95" customHeight="1">
      <c r="I28" s="303"/>
    </row>
    <row r="29" spans="1:10" ht="24.95" customHeight="1">
      <c r="A29" s="1119" t="s">
        <v>673</v>
      </c>
      <c r="B29" s="1119"/>
      <c r="C29" s="1119"/>
      <c r="D29" s="1119"/>
      <c r="E29" s="1119"/>
      <c r="F29" s="1119"/>
      <c r="G29" s="1119"/>
      <c r="H29" s="1119"/>
      <c r="I29" s="303"/>
    </row>
    <row r="30" spans="1:10" ht="24.95" customHeight="1" thickBot="1">
      <c r="A30" s="29"/>
      <c r="B30" s="29"/>
      <c r="C30" s="29"/>
      <c r="D30" s="29"/>
      <c r="E30" s="29"/>
      <c r="F30" s="29"/>
      <c r="G30" s="29"/>
      <c r="H30" s="29"/>
      <c r="I30" s="303"/>
    </row>
    <row r="31" spans="1:10" ht="88.15" customHeight="1" thickBot="1">
      <c r="A31" s="586" t="s">
        <v>541</v>
      </c>
      <c r="B31" s="613" t="s">
        <v>25</v>
      </c>
      <c r="C31" s="586" t="s">
        <v>560</v>
      </c>
      <c r="D31" s="586" t="s">
        <v>566</v>
      </c>
      <c r="E31" s="586" t="s">
        <v>389</v>
      </c>
      <c r="F31" s="586" t="s">
        <v>528</v>
      </c>
      <c r="G31" s="586" t="s">
        <v>567</v>
      </c>
      <c r="H31" s="1123" t="s">
        <v>563</v>
      </c>
      <c r="I31" s="303"/>
    </row>
    <row r="32" spans="1:10" ht="19.899999999999999" customHeight="1">
      <c r="A32" s="614" t="s">
        <v>381</v>
      </c>
      <c r="B32" s="614" t="s">
        <v>31</v>
      </c>
      <c r="C32" s="615" t="s">
        <v>32</v>
      </c>
      <c r="D32" s="835">
        <v>0</v>
      </c>
      <c r="E32" s="835">
        <v>0</v>
      </c>
      <c r="F32" s="616">
        <f>D32-E32</f>
        <v>0</v>
      </c>
      <c r="G32" s="616">
        <f>'EXHIBIT B'!B19</f>
        <v>0</v>
      </c>
      <c r="H32" s="617">
        <f>ROUND(+F32*G32,0)</f>
        <v>0</v>
      </c>
    </row>
    <row r="33" spans="1:12" ht="19.899999999999999" customHeight="1">
      <c r="A33" s="592" t="s">
        <v>381</v>
      </c>
      <c r="B33" s="592" t="s">
        <v>454</v>
      </c>
      <c r="C33" s="593" t="s">
        <v>33</v>
      </c>
      <c r="D33" s="836">
        <v>0</v>
      </c>
      <c r="E33" s="836">
        <v>0</v>
      </c>
      <c r="F33" s="594">
        <f>D33-E33</f>
        <v>0</v>
      </c>
      <c r="G33" s="594">
        <f>'EXHIBIT B'!B20</f>
        <v>0</v>
      </c>
      <c r="H33" s="595">
        <f>ROUND(+F33*G33,0)</f>
        <v>0</v>
      </c>
    </row>
    <row r="34" spans="1:12" ht="19.899999999999999" customHeight="1">
      <c r="A34" s="592" t="s">
        <v>382</v>
      </c>
      <c r="B34" s="592" t="s">
        <v>31</v>
      </c>
      <c r="C34" s="593">
        <v>40180</v>
      </c>
      <c r="D34" s="836">
        <v>0</v>
      </c>
      <c r="E34" s="836">
        <v>0</v>
      </c>
      <c r="F34" s="594">
        <f>D34-E34</f>
        <v>0</v>
      </c>
      <c r="G34" s="594">
        <f>'EXHIBIT B'!B22</f>
        <v>0</v>
      </c>
      <c r="H34" s="595">
        <f>ROUND(+F34*G34,0)</f>
        <v>0</v>
      </c>
    </row>
    <row r="35" spans="1:12" ht="19.899999999999999" customHeight="1" thickBot="1">
      <c r="A35" s="618" t="s">
        <v>382</v>
      </c>
      <c r="B35" s="618" t="s">
        <v>454</v>
      </c>
      <c r="C35" s="619">
        <v>40190</v>
      </c>
      <c r="D35" s="837">
        <v>0</v>
      </c>
      <c r="E35" s="837">
        <v>0</v>
      </c>
      <c r="F35" s="620">
        <f>D35-E35</f>
        <v>0</v>
      </c>
      <c r="G35" s="621">
        <f>'EXHIBIT B'!B23</f>
        <v>0</v>
      </c>
      <c r="H35" s="622">
        <f>ROUND(+F35*G35,0)</f>
        <v>0</v>
      </c>
    </row>
    <row r="36" spans="1:12" ht="19.899999999999999" customHeight="1" thickBot="1">
      <c r="A36" s="623"/>
      <c r="B36" s="556" t="s">
        <v>400</v>
      </c>
      <c r="C36" s="556"/>
      <c r="D36" s="624">
        <f>SUM(D32:D35)</f>
        <v>0</v>
      </c>
      <c r="E36" s="624">
        <f>SUM(E32:E35)</f>
        <v>0</v>
      </c>
      <c r="F36" s="625">
        <f>D36-E36</f>
        <v>0</v>
      </c>
      <c r="G36" s="625"/>
      <c r="H36" s="626">
        <f>SUM(H32:H35)</f>
        <v>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5">
        <v>0</v>
      </c>
      <c r="E39" s="616">
        <f>'EXHIBIT B'!B34</f>
        <v>0</v>
      </c>
      <c r="F39" s="617">
        <f>D39*E39</f>
        <v>0</v>
      </c>
      <c r="G39" s="214"/>
      <c r="H39" s="214"/>
    </row>
    <row r="40" spans="1:12" ht="19.899999999999999" customHeight="1">
      <c r="A40" s="592" t="s">
        <v>381</v>
      </c>
      <c r="B40" s="592" t="s">
        <v>454</v>
      </c>
      <c r="C40" s="593">
        <v>40390</v>
      </c>
      <c r="D40" s="836">
        <v>0</v>
      </c>
      <c r="E40" s="594">
        <f>'EXHIBIT B'!B35</f>
        <v>0</v>
      </c>
      <c r="F40" s="595">
        <f>D40*E40</f>
        <v>0</v>
      </c>
      <c r="G40" s="35"/>
      <c r="H40" s="35"/>
    </row>
    <row r="41" spans="1:12" ht="19.899999999999999" customHeight="1">
      <c r="A41" s="592" t="s">
        <v>382</v>
      </c>
      <c r="B41" s="592" t="s">
        <v>31</v>
      </c>
      <c r="C41" s="593" t="s">
        <v>38</v>
      </c>
      <c r="D41" s="836">
        <v>0</v>
      </c>
      <c r="E41" s="594">
        <f>'EXHIBIT B'!B37</f>
        <v>0</v>
      </c>
      <c r="F41" s="595">
        <f>D41*E41</f>
        <v>0</v>
      </c>
      <c r="G41" s="35"/>
      <c r="H41" s="35"/>
    </row>
    <row r="42" spans="1:12" ht="19.899999999999999" customHeight="1" thickBot="1">
      <c r="A42" s="633" t="s">
        <v>382</v>
      </c>
      <c r="B42" s="633" t="s">
        <v>454</v>
      </c>
      <c r="C42" s="634" t="s">
        <v>39</v>
      </c>
      <c r="D42" s="838">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4"/>
      <c r="H43" s="214"/>
    </row>
    <row r="44" spans="1:12" ht="19.899999999999999" customHeight="1" thickBot="1">
      <c r="A44" s="640" t="s">
        <v>538</v>
      </c>
      <c r="B44" s="641"/>
      <c r="C44" s="641"/>
      <c r="D44" s="641"/>
      <c r="E44" s="641"/>
      <c r="F44" s="641"/>
      <c r="G44" s="642"/>
      <c r="H44" s="643">
        <f>H36+F43</f>
        <v>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0">
        <f>H27+H44</f>
        <v>26766831</v>
      </c>
      <c r="K46" s="28"/>
      <c r="L46" s="28"/>
    </row>
    <row r="47" spans="1:12" ht="24.75" customHeight="1">
      <c r="A47" s="1124"/>
      <c r="B47" s="1124"/>
      <c r="C47" s="1124"/>
      <c r="D47" s="1124"/>
      <c r="E47" s="1124"/>
      <c r="F47" s="1124"/>
      <c r="G47" s="646"/>
      <c r="H47" s="646"/>
      <c r="K47" s="28"/>
      <c r="L47" s="28"/>
    </row>
    <row r="48" spans="1:12" ht="24.95" customHeight="1">
      <c r="A48" s="1076" t="s">
        <v>387</v>
      </c>
      <c r="B48" s="29"/>
      <c r="C48" s="29"/>
      <c r="D48" s="29"/>
      <c r="E48" s="29"/>
      <c r="F48" s="29"/>
      <c r="G48" s="29"/>
      <c r="H48" s="544" t="s">
        <v>23</v>
      </c>
    </row>
    <row r="49" spans="1:10" ht="24.95" customHeight="1">
      <c r="A49" s="1076"/>
      <c r="B49" s="29"/>
      <c r="C49" s="29"/>
      <c r="D49" s="29"/>
      <c r="E49" s="29"/>
      <c r="F49" s="29"/>
      <c r="G49" s="29"/>
    </row>
    <row r="50" spans="1:10" ht="43.15" customHeight="1" thickBot="1">
      <c r="A50" s="1297" t="s">
        <v>605</v>
      </c>
      <c r="B50" s="1297"/>
      <c r="C50" s="29"/>
      <c r="D50" s="29"/>
      <c r="E50" s="29"/>
      <c r="F50" s="29"/>
      <c r="G50" s="29"/>
      <c r="H50" s="29"/>
    </row>
    <row r="51" spans="1:10" ht="44.45" customHeight="1" thickBot="1">
      <c r="A51" s="548" t="s">
        <v>505</v>
      </c>
      <c r="B51" s="548" t="s">
        <v>41</v>
      </c>
      <c r="C51" s="1298" t="s">
        <v>568</v>
      </c>
      <c r="D51" s="1299"/>
      <c r="E51" s="1298" t="s">
        <v>569</v>
      </c>
      <c r="F51" s="1299"/>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2"/>
      <c r="B54" s="839">
        <v>0</v>
      </c>
      <c r="C54" s="1306"/>
      <c r="D54" s="1300"/>
      <c r="E54" s="1306"/>
      <c r="F54" s="1300"/>
    </row>
    <row r="55" spans="1:10" ht="24.95" customHeight="1">
      <c r="A55" s="873"/>
      <c r="B55" s="840">
        <v>0</v>
      </c>
      <c r="C55" s="1307"/>
      <c r="D55" s="1300"/>
      <c r="E55" s="1310"/>
      <c r="F55" s="1300"/>
      <c r="J55" s="163"/>
    </row>
    <row r="56" spans="1:10" ht="24.95" customHeight="1">
      <c r="A56" s="873"/>
      <c r="B56" s="840">
        <v>0</v>
      </c>
      <c r="C56" s="1307"/>
      <c r="D56" s="1300"/>
      <c r="E56" s="1310"/>
      <c r="F56" s="1300"/>
      <c r="I56" s="214"/>
    </row>
    <row r="57" spans="1:10" ht="24.95" customHeight="1">
      <c r="A57" s="873"/>
      <c r="B57" s="840">
        <v>0</v>
      </c>
      <c r="C57" s="1307"/>
      <c r="D57" s="1300"/>
      <c r="E57" s="1310"/>
      <c r="F57" s="1300"/>
      <c r="I57" s="214"/>
    </row>
    <row r="58" spans="1:10" ht="24.95" customHeight="1">
      <c r="A58" s="873"/>
      <c r="B58" s="840">
        <v>0</v>
      </c>
      <c r="C58" s="1307"/>
      <c r="D58" s="1300"/>
      <c r="E58" s="1310"/>
      <c r="F58" s="1300"/>
      <c r="I58" s="214"/>
    </row>
    <row r="59" spans="1:10" ht="24.95" customHeight="1" thickBot="1">
      <c r="A59" s="874"/>
      <c r="B59" s="841">
        <v>0</v>
      </c>
      <c r="C59" s="1308"/>
      <c r="D59" s="1301"/>
      <c r="E59" s="1308"/>
      <c r="F59" s="1301"/>
      <c r="I59" s="214"/>
      <c r="J59" s="165"/>
    </row>
    <row r="60" spans="1:10" ht="24.95" customHeight="1" thickBot="1">
      <c r="A60" s="556" t="s">
        <v>247</v>
      </c>
      <c r="B60" s="557">
        <f>SUM(B54:B59)</f>
        <v>0</v>
      </c>
      <c r="C60" s="1309"/>
      <c r="D60" s="1302"/>
      <c r="E60" s="1309"/>
      <c r="F60" s="1302"/>
      <c r="I60" s="647"/>
    </row>
    <row r="61" spans="1:10" ht="24.95" customHeight="1" thickBot="1">
      <c r="A61" s="558"/>
      <c r="B61" s="558"/>
      <c r="C61" s="559"/>
      <c r="D61" s="560"/>
      <c r="E61" s="559"/>
      <c r="F61" s="560"/>
      <c r="I61" s="214"/>
    </row>
    <row r="62" spans="1:10" ht="24.95" customHeight="1" thickBot="1">
      <c r="A62" s="561" t="s">
        <v>43</v>
      </c>
      <c r="B62" s="553"/>
      <c r="C62" s="554"/>
      <c r="D62" s="555"/>
      <c r="E62" s="554"/>
      <c r="F62" s="555"/>
      <c r="I62" s="214"/>
    </row>
    <row r="63" spans="1:10" ht="24.95" customHeight="1">
      <c r="A63" s="875"/>
      <c r="B63" s="842">
        <v>163050</v>
      </c>
      <c r="C63" s="1306" t="s">
        <v>786</v>
      </c>
      <c r="D63" s="1303"/>
      <c r="E63" s="1306" t="s">
        <v>785</v>
      </c>
      <c r="F63" s="1303"/>
      <c r="I63" s="214"/>
    </row>
    <row r="64" spans="1:10" ht="24.95" customHeight="1">
      <c r="A64" s="873"/>
      <c r="B64" s="833">
        <v>0</v>
      </c>
      <c r="C64" s="1310"/>
      <c r="D64" s="1300"/>
      <c r="E64" s="1310"/>
      <c r="F64" s="1300"/>
      <c r="I64" s="214"/>
    </row>
    <row r="65" spans="1:9" ht="24.95" customHeight="1">
      <c r="A65" s="873"/>
      <c r="B65" s="840">
        <v>0</v>
      </c>
      <c r="C65" s="1310"/>
      <c r="D65" s="1300"/>
      <c r="E65" s="1310"/>
      <c r="F65" s="1300"/>
      <c r="I65" s="214"/>
    </row>
    <row r="66" spans="1:9" ht="24.95" customHeight="1">
      <c r="A66" s="873"/>
      <c r="B66" s="840">
        <v>0</v>
      </c>
      <c r="C66" s="1310"/>
      <c r="D66" s="1300"/>
      <c r="E66" s="1310"/>
      <c r="F66" s="1300"/>
      <c r="I66" s="214"/>
    </row>
    <row r="67" spans="1:9" ht="24.95" customHeight="1">
      <c r="A67" s="873"/>
      <c r="B67" s="840">
        <v>0</v>
      </c>
      <c r="C67" s="1310"/>
      <c r="D67" s="1300"/>
      <c r="E67" s="1310"/>
      <c r="F67" s="1300"/>
    </row>
    <row r="68" spans="1:9" ht="24.95" customHeight="1" thickBot="1">
      <c r="A68" s="874"/>
      <c r="B68" s="841">
        <v>0</v>
      </c>
      <c r="C68" s="1308"/>
      <c r="D68" s="1301"/>
      <c r="E68" s="1308"/>
      <c r="F68" s="1301"/>
    </row>
    <row r="69" spans="1:9" ht="24.95" customHeight="1" thickBot="1">
      <c r="A69" s="556" t="s">
        <v>248</v>
      </c>
      <c r="B69" s="557">
        <f>SUM(B63:B68)</f>
        <v>163050</v>
      </c>
      <c r="C69" s="1311"/>
      <c r="D69" s="1304"/>
      <c r="E69" s="1311"/>
      <c r="F69" s="1304"/>
    </row>
    <row r="70" spans="1:9" ht="24.95" customHeight="1" thickBot="1">
      <c r="A70" s="556" t="s">
        <v>44</v>
      </c>
      <c r="B70" s="557">
        <f>+B69+B60</f>
        <v>163050</v>
      </c>
      <c r="C70" s="1311"/>
      <c r="D70" s="1304"/>
      <c r="E70" s="1311"/>
      <c r="F70" s="1305"/>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q7mb3v+NY5p23V8E0t6cT9hAZP8/ibsMTSw5apydneQlhvMDG8pFQ0E1dcx1LV+MPGZZnAqur+nU1IB3zSY5g==" saltValue="0RRV4xmdGlJEjlWL1GPCl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topLeftCell="A4" zoomScale="60" zoomScaleNormal="60" zoomScaleSheetLayoutView="70" workbookViewId="0">
      <selection activeCell="G6" sqref="G6"/>
    </sheetView>
  </sheetViews>
  <sheetFormatPr defaultColWidth="9.140625" defaultRowHeight="12.75"/>
  <cols>
    <col min="1" max="1" width="31.28515625" style="316" customWidth="1"/>
    <col min="2" max="2" width="100.5703125" style="316" customWidth="1"/>
    <col min="3" max="3" width="18.7109375" style="316" customWidth="1"/>
    <col min="4" max="4" width="25.7109375" style="316" customWidth="1"/>
    <col min="5" max="5" width="21.42578125" style="316" customWidth="1"/>
    <col min="6" max="6" width="6.85546875" style="316" customWidth="1"/>
    <col min="7" max="7" width="9.140625" style="316"/>
    <col min="8" max="8" width="59" style="316" customWidth="1"/>
    <col min="9" max="9" width="13.7109375" style="316" customWidth="1"/>
    <col min="10" max="10" width="12.7109375" style="316" bestFit="1" customWidth="1"/>
    <col min="11" max="11" width="14" style="316" customWidth="1"/>
    <col min="12" max="28" width="12.7109375" style="316" customWidth="1"/>
    <col min="29" max="29" width="11" style="316" customWidth="1"/>
    <col min="30" max="30" width="12.7109375" style="316" customWidth="1"/>
    <col min="31" max="31" width="12.42578125" style="316" customWidth="1"/>
    <col min="32" max="32" width="11.5703125" style="316" customWidth="1"/>
    <col min="33" max="33" width="2.28515625" style="316" customWidth="1"/>
    <col min="34" max="34" width="20.140625" style="316" customWidth="1"/>
    <col min="35" max="35" width="6" style="809" customWidth="1"/>
    <col min="36" max="36" width="14.5703125" style="316" customWidth="1"/>
    <col min="37" max="37" width="13.7109375" style="316" customWidth="1"/>
    <col min="38" max="38" width="2.140625" style="316" customWidth="1"/>
    <col min="39" max="40" width="9.140625" style="316"/>
    <col min="41" max="41" width="11.28515625" style="316" customWidth="1"/>
    <col min="42" max="42" width="11.5703125" style="316" customWidth="1"/>
    <col min="43" max="43" width="11" style="316" customWidth="1"/>
    <col min="44" max="44" width="11.140625" style="316" customWidth="1"/>
    <col min="45" max="16384" width="9.140625" style="316"/>
  </cols>
  <sheetData>
    <row r="1" spans="1:47" s="50" customFormat="1" ht="24" customHeight="1">
      <c r="A1" s="546"/>
      <c r="B1" s="546"/>
      <c r="C1" s="546"/>
      <c r="D1" s="546"/>
      <c r="E1" s="1115" t="s">
        <v>450</v>
      </c>
      <c r="F1" s="546"/>
      <c r="AI1" s="33"/>
    </row>
    <row r="2" spans="1:47" s="50" customFormat="1" ht="24" customHeight="1">
      <c r="A2" s="546"/>
      <c r="B2" s="546"/>
      <c r="C2" s="546"/>
      <c r="D2" s="546"/>
      <c r="E2" s="546"/>
      <c r="F2" s="546"/>
      <c r="AI2" s="33"/>
    </row>
    <row r="3" spans="1:47" s="50" customFormat="1" ht="24" customHeight="1">
      <c r="A3" s="1288" t="s">
        <v>259</v>
      </c>
      <c r="B3" s="1288"/>
      <c r="C3" s="1288"/>
      <c r="D3" s="1288"/>
      <c r="E3" s="1288"/>
      <c r="F3" s="1291"/>
    </row>
    <row r="4" spans="1:47" s="50" customFormat="1" ht="23.45" customHeight="1">
      <c r="A4" s="1288" t="s">
        <v>608</v>
      </c>
      <c r="B4" s="1288"/>
      <c r="C4" s="1288"/>
      <c r="D4" s="1288"/>
      <c r="E4" s="1288"/>
      <c r="F4" s="1291"/>
    </row>
    <row r="5" spans="1:47" s="50" customFormat="1" ht="22.9" customHeight="1">
      <c r="A5" s="1287"/>
      <c r="B5" s="1287"/>
      <c r="C5" s="1287"/>
      <c r="D5" s="1287"/>
      <c r="E5" s="1287"/>
      <c r="F5" s="1291"/>
    </row>
    <row r="6" spans="1:47" s="50" customFormat="1" ht="24.95" customHeight="1">
      <c r="A6" s="1291"/>
      <c r="B6" s="1291"/>
      <c r="C6" s="1291"/>
      <c r="D6" s="1291"/>
      <c r="E6" s="1291"/>
      <c r="F6" s="1291"/>
    </row>
    <row r="7" spans="1:47" s="50" customFormat="1" ht="24.95" customHeight="1" thickBot="1">
      <c r="A7" s="1287" t="s">
        <v>233</v>
      </c>
      <c r="B7" s="1292" t="str">
        <f>'CHECK SHEET'!D7</f>
        <v>Florida SouthWestern State College</v>
      </c>
      <c r="C7" s="1292"/>
      <c r="D7" s="1292"/>
      <c r="E7" s="1292"/>
      <c r="F7" s="1292"/>
    </row>
    <row r="8" spans="1:47" s="50" customFormat="1" ht="24.95" customHeight="1">
      <c r="A8" s="1134"/>
      <c r="B8" s="1134"/>
      <c r="C8" s="1134"/>
      <c r="D8" s="1134"/>
      <c r="E8" s="1134"/>
    </row>
    <row r="9" spans="1:47" s="50" customFormat="1" ht="24.95" customHeight="1">
      <c r="A9" s="315"/>
      <c r="B9" s="795"/>
      <c r="C9" s="795"/>
      <c r="D9" s="795"/>
      <c r="E9" s="795"/>
    </row>
    <row r="10" spans="1:47" s="50" customFormat="1" ht="42.6" customHeight="1">
      <c r="A10" s="1312" t="s">
        <v>712</v>
      </c>
      <c r="B10" s="1312"/>
      <c r="C10" s="1312"/>
      <c r="D10" s="1312"/>
      <c r="E10" s="1312"/>
    </row>
    <row r="11" spans="1:47" ht="24.95" customHeight="1" thickBot="1">
      <c r="A11" s="796"/>
      <c r="B11" s="796"/>
      <c r="C11" s="796"/>
      <c r="D11" s="796"/>
      <c r="E11" s="796"/>
      <c r="AI11" s="316"/>
      <c r="AT11" s="315"/>
      <c r="AU11" s="315"/>
    </row>
    <row r="12" spans="1:47" s="1184" customFormat="1" ht="78" customHeight="1" thickBot="1">
      <c r="A12" s="797" t="s">
        <v>24</v>
      </c>
      <c r="B12" s="797" t="s">
        <v>25</v>
      </c>
      <c r="C12" s="798" t="s">
        <v>405</v>
      </c>
      <c r="D12" s="798" t="s">
        <v>623</v>
      </c>
      <c r="E12" s="798" t="s">
        <v>575</v>
      </c>
    </row>
    <row r="13" spans="1:47" ht="24" customHeight="1">
      <c r="A13" s="799" t="s">
        <v>7</v>
      </c>
      <c r="B13" s="799" t="s">
        <v>436</v>
      </c>
      <c r="C13" s="800">
        <v>40101</v>
      </c>
      <c r="D13" s="947">
        <v>0</v>
      </c>
      <c r="E13" s="947">
        <v>0</v>
      </c>
      <c r="AI13" s="316"/>
    </row>
    <row r="14" spans="1:47" ht="24.95" customHeight="1">
      <c r="A14" s="948" t="s">
        <v>7</v>
      </c>
      <c r="B14" s="948" t="s">
        <v>338</v>
      </c>
      <c r="C14" s="949" t="s">
        <v>26</v>
      </c>
      <c r="D14" s="845">
        <v>0</v>
      </c>
      <c r="E14" s="845">
        <v>0</v>
      </c>
      <c r="AI14" s="316"/>
    </row>
    <row r="15" spans="1:47" ht="24.95" customHeight="1">
      <c r="A15" s="948" t="s">
        <v>7</v>
      </c>
      <c r="B15" s="948" t="s">
        <v>27</v>
      </c>
      <c r="C15" s="949" t="s">
        <v>28</v>
      </c>
      <c r="D15" s="845">
        <v>0</v>
      </c>
      <c r="E15" s="845">
        <v>0</v>
      </c>
      <c r="AI15" s="316"/>
    </row>
    <row r="16" spans="1:47" ht="24.95" customHeight="1">
      <c r="A16" s="948" t="s">
        <v>7</v>
      </c>
      <c r="B16" s="948" t="s">
        <v>527</v>
      </c>
      <c r="C16" s="949" t="s">
        <v>29</v>
      </c>
      <c r="D16" s="845">
        <v>0</v>
      </c>
      <c r="E16" s="845">
        <v>0</v>
      </c>
      <c r="AI16" s="316"/>
    </row>
    <row r="17" spans="1:46" ht="24.95" customHeight="1">
      <c r="A17" s="948" t="s">
        <v>7</v>
      </c>
      <c r="B17" s="948" t="s">
        <v>462</v>
      </c>
      <c r="C17" s="949" t="s">
        <v>30</v>
      </c>
      <c r="D17" s="846">
        <v>0</v>
      </c>
      <c r="E17" s="846">
        <v>0</v>
      </c>
      <c r="AI17" s="316"/>
    </row>
    <row r="18" spans="1:46" ht="24.95" customHeight="1" thickBot="1">
      <c r="A18" s="948" t="s">
        <v>7</v>
      </c>
      <c r="B18" s="948" t="s">
        <v>246</v>
      </c>
      <c r="C18" s="949">
        <v>40160</v>
      </c>
      <c r="D18" s="847">
        <v>0</v>
      </c>
      <c r="E18" s="847">
        <v>0</v>
      </c>
      <c r="AI18" s="316"/>
    </row>
    <row r="19" spans="1:46" ht="24.95" customHeight="1" thickBot="1">
      <c r="A19" s="801"/>
      <c r="B19" s="950"/>
      <c r="C19" s="951"/>
      <c r="D19" s="801"/>
      <c r="E19" s="952"/>
      <c r="AI19" s="316"/>
    </row>
    <row r="20" spans="1:46" ht="24.95" customHeight="1" thickBot="1">
      <c r="A20" s="953"/>
      <c r="B20" s="954" t="s">
        <v>260</v>
      </c>
      <c r="C20" s="954"/>
      <c r="D20" s="954"/>
      <c r="E20" s="955">
        <f>SUM(E13:E18)</f>
        <v>0</v>
      </c>
      <c r="AI20" s="316"/>
    </row>
    <row r="21" spans="1:46" ht="78" customHeight="1" thickBot="1">
      <c r="A21" s="797" t="s">
        <v>24</v>
      </c>
      <c r="B21" s="797" t="s">
        <v>25</v>
      </c>
      <c r="C21" s="798" t="s">
        <v>405</v>
      </c>
      <c r="D21" s="798" t="s">
        <v>503</v>
      </c>
      <c r="E21" s="798" t="s">
        <v>575</v>
      </c>
      <c r="AI21" s="316"/>
    </row>
    <row r="22" spans="1:46" s="313" customFormat="1" ht="24.95" customHeight="1">
      <c r="A22" s="956" t="s">
        <v>376</v>
      </c>
      <c r="B22" s="957" t="s">
        <v>436</v>
      </c>
      <c r="C22" s="958">
        <v>40301</v>
      </c>
      <c r="D22" s="947">
        <v>0</v>
      </c>
      <c r="E22" s="947">
        <v>0</v>
      </c>
    </row>
    <row r="23" spans="1:46" s="313" customFormat="1" ht="24.95" customHeight="1">
      <c r="A23" s="948" t="s">
        <v>376</v>
      </c>
      <c r="B23" s="959" t="s">
        <v>338</v>
      </c>
      <c r="C23" s="960" t="s">
        <v>34</v>
      </c>
      <c r="D23" s="961">
        <v>0</v>
      </c>
      <c r="E23" s="961">
        <v>0</v>
      </c>
    </row>
    <row r="24" spans="1:46" s="313" customFormat="1" ht="24.95" customHeight="1">
      <c r="A24" s="948" t="s">
        <v>376</v>
      </c>
      <c r="B24" s="959" t="s">
        <v>27</v>
      </c>
      <c r="C24" s="960" t="s">
        <v>35</v>
      </c>
      <c r="D24" s="961">
        <v>0</v>
      </c>
      <c r="E24" s="961">
        <v>0</v>
      </c>
    </row>
    <row r="25" spans="1:46" s="313" customFormat="1" ht="24.95" customHeight="1">
      <c r="A25" s="948" t="s">
        <v>376</v>
      </c>
      <c r="B25" s="959" t="s">
        <v>527</v>
      </c>
      <c r="C25" s="960" t="s">
        <v>36</v>
      </c>
      <c r="D25" s="961">
        <v>0</v>
      </c>
      <c r="E25" s="961">
        <v>0</v>
      </c>
    </row>
    <row r="26" spans="1:46" s="313" customFormat="1" ht="24.95" customHeight="1">
      <c r="A26" s="948" t="s">
        <v>376</v>
      </c>
      <c r="B26" s="959" t="s">
        <v>462</v>
      </c>
      <c r="C26" s="960" t="s">
        <v>37</v>
      </c>
      <c r="D26" s="961">
        <v>0</v>
      </c>
      <c r="E26" s="961">
        <v>0</v>
      </c>
    </row>
    <row r="27" spans="1:46" s="313" customFormat="1" ht="24.95" customHeight="1" thickBot="1">
      <c r="A27" s="719" t="s">
        <v>376</v>
      </c>
      <c r="B27" s="957" t="s">
        <v>246</v>
      </c>
      <c r="C27" s="802">
        <v>40360</v>
      </c>
      <c r="D27" s="847">
        <v>0</v>
      </c>
      <c r="E27" s="848">
        <v>0</v>
      </c>
    </row>
    <row r="28" spans="1:46" ht="24.95" customHeight="1" thickBot="1">
      <c r="A28" s="962"/>
      <c r="B28" s="963"/>
      <c r="C28" s="962"/>
      <c r="D28" s="803"/>
      <c r="E28" s="964"/>
      <c r="AI28" s="316"/>
    </row>
    <row r="29" spans="1:46" ht="24.95" customHeight="1" thickBot="1">
      <c r="A29" s="965"/>
      <c r="B29" s="966" t="s">
        <v>260</v>
      </c>
      <c r="C29" s="804"/>
      <c r="D29" s="804"/>
      <c r="E29" s="967">
        <f>SUM(E22:E27)</f>
        <v>0</v>
      </c>
      <c r="AI29" s="316"/>
      <c r="AT29" s="805"/>
    </row>
    <row r="30" spans="1:46" ht="24.95" customHeight="1" thickBot="1">
      <c r="A30" s="804" t="s">
        <v>40</v>
      </c>
      <c r="B30" s="806"/>
      <c r="C30" s="807"/>
      <c r="D30" s="807"/>
      <c r="E30" s="808">
        <f>E20+E29</f>
        <v>0</v>
      </c>
      <c r="AI30" s="316"/>
    </row>
    <row r="31" spans="1:46" ht="24.95" customHeight="1">
      <c r="A31" s="795"/>
      <c r="B31" s="796"/>
      <c r="C31" s="796"/>
      <c r="D31" s="796"/>
      <c r="E31" s="796"/>
      <c r="AI31" s="316"/>
    </row>
    <row r="32" spans="1:46" ht="24.95" customHeight="1" thickBot="1">
      <c r="A32" s="932" t="s">
        <v>384</v>
      </c>
      <c r="B32" s="796"/>
      <c r="C32" s="796"/>
      <c r="D32" s="796"/>
      <c r="E32" s="796"/>
      <c r="AI32" s="316"/>
    </row>
    <row r="33" spans="1:46" ht="24.95" customHeight="1">
      <c r="A33" s="1125"/>
      <c r="B33" s="1126"/>
      <c r="C33" s="1126"/>
      <c r="D33" s="1126"/>
      <c r="E33" s="1127"/>
      <c r="AI33" s="316"/>
    </row>
    <row r="34" spans="1:46" ht="24.95" customHeight="1">
      <c r="A34" s="1128"/>
      <c r="B34" s="1129"/>
      <c r="C34" s="1129"/>
      <c r="D34" s="1129"/>
      <c r="E34" s="1130"/>
      <c r="AI34" s="316"/>
    </row>
    <row r="35" spans="1:46" s="805" customFormat="1" ht="24.95" customHeight="1">
      <c r="A35" s="1128"/>
      <c r="B35" s="1129"/>
      <c r="C35" s="1129"/>
      <c r="D35" s="1129"/>
      <c r="E35" s="1130"/>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row>
    <row r="36" spans="1:46" ht="24.95" customHeight="1">
      <c r="A36" s="1128"/>
      <c r="B36" s="1129"/>
      <c r="C36" s="1129"/>
      <c r="D36" s="1129"/>
      <c r="E36" s="1130"/>
      <c r="AI36" s="316"/>
    </row>
    <row r="37" spans="1:46" ht="24.95" customHeight="1" thickBot="1">
      <c r="A37" s="1131"/>
      <c r="B37" s="1132"/>
      <c r="C37" s="1132"/>
      <c r="D37" s="1132"/>
      <c r="E37" s="1133"/>
      <c r="AI37" s="316"/>
    </row>
    <row r="38" spans="1:46" ht="20.25" customHeight="1">
      <c r="A38" s="315"/>
      <c r="B38" s="315"/>
      <c r="C38" s="315"/>
      <c r="D38" s="315"/>
      <c r="E38" s="315"/>
      <c r="AI38" s="316"/>
    </row>
    <row r="39" spans="1:46" ht="20.25" customHeight="1">
      <c r="AI39" s="316"/>
    </row>
    <row r="40" spans="1:46" ht="20.25" customHeight="1">
      <c r="AI40" s="316"/>
    </row>
    <row r="41" spans="1:46" ht="20.25" customHeight="1">
      <c r="AI41" s="316"/>
    </row>
    <row r="42" spans="1:46" ht="20.25" customHeight="1">
      <c r="AI42" s="31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0"/>
      <c r="AI59" s="811"/>
    </row>
    <row r="60" spans="34:35" ht="20.25" customHeight="1">
      <c r="AH60" s="810"/>
      <c r="AI60" s="811"/>
    </row>
    <row r="61" spans="34:35" ht="20.25" customHeight="1">
      <c r="AH61" s="810"/>
    </row>
    <row r="62" spans="34:35" ht="20.25" customHeight="1"/>
    <row r="63" spans="34:35" ht="20.25" customHeight="1">
      <c r="AH63" s="810"/>
      <c r="AI63" s="811"/>
    </row>
    <row r="64" spans="34:35" ht="20.25" customHeight="1">
      <c r="AH64" s="810"/>
      <c r="AI64" s="811"/>
    </row>
    <row r="65" spans="1:35" ht="20.25" customHeight="1">
      <c r="A65" s="315"/>
      <c r="B65" s="315"/>
      <c r="C65" s="315"/>
      <c r="D65" s="315"/>
      <c r="E65" s="315"/>
      <c r="AH65" s="810"/>
      <c r="AI65" s="811"/>
    </row>
    <row r="66" spans="1:35" ht="20.25" customHeight="1">
      <c r="A66" s="315"/>
      <c r="B66" s="315"/>
      <c r="C66" s="315"/>
      <c r="D66" s="315"/>
      <c r="E66" s="315"/>
    </row>
    <row r="67" spans="1:35" ht="20.25" customHeight="1">
      <c r="A67" s="315"/>
      <c r="B67" s="315"/>
      <c r="C67" s="315"/>
      <c r="D67" s="315"/>
      <c r="E67" s="315"/>
      <c r="AH67" s="810"/>
    </row>
    <row r="68" spans="1:35" ht="20.25" customHeight="1">
      <c r="A68" s="315"/>
      <c r="B68" s="315"/>
      <c r="C68" s="315"/>
      <c r="D68" s="315"/>
      <c r="E68" s="315"/>
      <c r="AH68" s="810"/>
      <c r="AI68" s="811"/>
    </row>
    <row r="69" spans="1:35" ht="20.25" customHeight="1">
      <c r="AH69" s="810"/>
      <c r="AI69" s="811"/>
    </row>
    <row r="70" spans="1:35" ht="20.25" customHeight="1">
      <c r="AH70" s="810"/>
    </row>
    <row r="71" spans="1:35" ht="20.25" customHeight="1">
      <c r="AH71" s="810"/>
    </row>
    <row r="72" spans="1:35" ht="20.25" customHeight="1">
      <c r="AH72" s="810"/>
    </row>
    <row r="73" spans="1:35" ht="20.25" customHeight="1">
      <c r="AH73" s="810"/>
      <c r="AI73" s="811"/>
    </row>
    <row r="74" spans="1:35" ht="20.25" customHeight="1"/>
    <row r="75" spans="1:35" ht="20.25" customHeight="1">
      <c r="AH75" s="810"/>
    </row>
    <row r="76" spans="1:35" ht="20.25" customHeight="1">
      <c r="AH76" s="810"/>
      <c r="AI76" s="811"/>
    </row>
    <row r="77" spans="1:35" ht="20.25" customHeight="1">
      <c r="AH77" s="810"/>
      <c r="AI77" s="811"/>
    </row>
    <row r="78" spans="1:35" ht="20.25" customHeight="1">
      <c r="AH78" s="810"/>
      <c r="AI78" s="811"/>
    </row>
    <row r="79" spans="1:35" ht="20.25" customHeight="1">
      <c r="AH79" s="810"/>
      <c r="AI79" s="811"/>
    </row>
    <row r="80" spans="1:35" ht="20.25" customHeight="1">
      <c r="AH80" s="810"/>
    </row>
    <row r="81" spans="3:35" ht="20.25" customHeight="1">
      <c r="AH81" s="810"/>
      <c r="AI81" s="811"/>
    </row>
    <row r="82" spans="3:35" ht="20.25" customHeight="1">
      <c r="AH82" s="810"/>
      <c r="AI82" s="811"/>
    </row>
    <row r="83" spans="3:35" ht="20.25" customHeight="1">
      <c r="AH83" s="810"/>
      <c r="AI83" s="811"/>
    </row>
    <row r="84" spans="3:35" ht="20.25" customHeight="1"/>
    <row r="85" spans="3:35" ht="20.25" customHeight="1">
      <c r="AH85" s="810"/>
      <c r="AI85" s="811"/>
    </row>
    <row r="86" spans="3:35" ht="18" customHeight="1">
      <c r="AH86" s="810"/>
      <c r="AI86" s="81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QhmJvk17hW2D8DcDlpK/1X9hZpNmr2IIPA9co6s9EUEEkcvFJHJmj9mPTExDNGTGiglOvOqE/oU5Q1HEx58drw==" saltValue="gI3Ov5OHd4uzdc0DX/kkbg=="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PageLayoutView="80" workbookViewId="0">
      <selection activeCell="J6" sqref="J6"/>
    </sheetView>
  </sheetViews>
  <sheetFormatPr defaultColWidth="9.140625" defaultRowHeight="18.75"/>
  <cols>
    <col min="1" max="1" width="57" style="313" customWidth="1"/>
    <col min="2" max="2" width="1.5703125" style="313" customWidth="1"/>
    <col min="3" max="3" width="21.28515625" style="313" customWidth="1"/>
    <col min="4" max="4" width="9.140625" style="313"/>
    <col min="5" max="5" width="49.42578125" style="313" customWidth="1"/>
    <col min="6" max="6" width="17" style="313" customWidth="1"/>
    <col min="7" max="7" width="25.5703125" style="313" customWidth="1"/>
    <col min="8" max="8" width="1.85546875" style="313" customWidth="1"/>
    <col min="9" max="9" width="11.7109375" style="313" bestFit="1" customWidth="1"/>
    <col min="10" max="10" width="15.42578125" style="313" bestFit="1" customWidth="1"/>
    <col min="11" max="16384" width="9.140625" style="313"/>
  </cols>
  <sheetData>
    <row r="1" spans="1:8" ht="26.25">
      <c r="A1" s="1313"/>
      <c r="B1" s="1313"/>
      <c r="C1" s="1313"/>
      <c r="D1" s="1313"/>
      <c r="E1" s="1313"/>
      <c r="F1" s="1313"/>
      <c r="G1" s="1314"/>
    </row>
    <row r="2" spans="1:8" ht="30" customHeight="1" thickBot="1">
      <c r="A2" s="1314" t="s">
        <v>15</v>
      </c>
      <c r="B2" s="1292" t="str">
        <f>'CHECK SHEET'!D7</f>
        <v>Florida SouthWestern State College</v>
      </c>
      <c r="C2" s="1292"/>
      <c r="D2" s="1292"/>
      <c r="E2" s="1292"/>
      <c r="F2" s="1292"/>
      <c r="G2" s="1315"/>
    </row>
    <row r="3" spans="1:8" ht="22.9" customHeight="1">
      <c r="A3" s="1288" t="s">
        <v>510</v>
      </c>
      <c r="B3" s="1288"/>
      <c r="C3" s="1288"/>
      <c r="D3" s="1288"/>
      <c r="E3" s="1288"/>
      <c r="F3" s="1288"/>
      <c r="G3" s="1288"/>
    </row>
    <row r="4" spans="1:8" ht="23.45" customHeight="1">
      <c r="A4" s="1288" t="s">
        <v>45</v>
      </c>
      <c r="B4" s="1288"/>
      <c r="C4" s="1288"/>
      <c r="D4" s="1288"/>
      <c r="E4" s="1288"/>
      <c r="F4" s="1288"/>
      <c r="G4" s="1288"/>
    </row>
    <row r="5" spans="1:8" ht="23.45" customHeight="1">
      <c r="A5" s="1288" t="s">
        <v>735</v>
      </c>
      <c r="B5" s="1288"/>
      <c r="C5" s="1288"/>
      <c r="D5" s="1288"/>
      <c r="E5" s="1288"/>
      <c r="F5" s="1288"/>
      <c r="G5" s="1288"/>
    </row>
    <row r="6" spans="1:8" ht="19.899999999999999" customHeight="1">
      <c r="A6" s="1316"/>
      <c r="B6" s="1316"/>
      <c r="C6" s="1316"/>
      <c r="D6" s="1316"/>
      <c r="E6" s="1316"/>
      <c r="F6" s="1316"/>
      <c r="G6" s="1316"/>
    </row>
    <row r="7" spans="1:8" ht="38.450000000000003" customHeight="1">
      <c r="A7" s="1317" t="s">
        <v>657</v>
      </c>
      <c r="B7" s="1317"/>
      <c r="C7" s="1317"/>
      <c r="D7" s="1317"/>
      <c r="E7" s="1317"/>
      <c r="F7" s="1317"/>
      <c r="G7" s="1317"/>
      <c r="H7" s="323"/>
    </row>
    <row r="8" spans="1:8" ht="19.899999999999999" customHeight="1">
      <c r="A8" s="322"/>
      <c r="B8" s="322"/>
      <c r="C8" s="322"/>
      <c r="D8" s="322"/>
      <c r="E8" s="322"/>
      <c r="F8" s="322"/>
      <c r="G8" s="322"/>
      <c r="H8" s="1064"/>
    </row>
    <row r="9" spans="1:8" ht="76.150000000000006" customHeight="1">
      <c r="A9" s="1042" t="s">
        <v>46</v>
      </c>
      <c r="B9" s="1043" t="s">
        <v>47</v>
      </c>
      <c r="C9" s="1043"/>
      <c r="D9" s="1043"/>
      <c r="E9" s="1043"/>
      <c r="F9" s="1044" t="s">
        <v>405</v>
      </c>
      <c r="G9" s="1045" t="s">
        <v>671</v>
      </c>
      <c r="H9" s="317"/>
    </row>
    <row r="10" spans="1:8" ht="19.899999999999999" customHeight="1">
      <c r="A10" s="1065" t="s">
        <v>539</v>
      </c>
      <c r="B10" s="1066"/>
      <c r="C10" s="1066"/>
      <c r="D10" s="1066"/>
      <c r="E10" s="1066"/>
      <c r="F10" s="1067"/>
      <c r="G10" s="1068"/>
      <c r="H10" s="317"/>
    </row>
    <row r="11" spans="1:8" ht="19.899999999999999" customHeight="1">
      <c r="A11" s="971"/>
      <c r="B11" s="324"/>
      <c r="C11" s="324"/>
      <c r="D11" s="324"/>
      <c r="E11" s="324"/>
      <c r="F11" s="325"/>
      <c r="G11" s="326"/>
      <c r="H11" s="317"/>
    </row>
    <row r="12" spans="1:8" ht="19.899999999999999" customHeight="1">
      <c r="A12" s="972" t="s">
        <v>7</v>
      </c>
      <c r="B12" s="327"/>
      <c r="C12" s="327" t="s">
        <v>436</v>
      </c>
      <c r="D12" s="327"/>
      <c r="E12" s="327"/>
      <c r="F12" s="328">
        <v>40101</v>
      </c>
      <c r="G12" s="329">
        <f>+'EXHIBIT C'!H10+'EXHIBIT C(2)'!E13</f>
        <v>1662245</v>
      </c>
      <c r="H12" s="317"/>
    </row>
    <row r="13" spans="1:8" ht="19.899999999999999" customHeight="1">
      <c r="A13" s="971" t="s">
        <v>7</v>
      </c>
      <c r="B13" s="324"/>
      <c r="C13" s="317" t="s">
        <v>338</v>
      </c>
      <c r="D13" s="324"/>
      <c r="E13" s="324"/>
      <c r="F13" s="330" t="s">
        <v>26</v>
      </c>
      <c r="G13" s="329">
        <f>+'EXHIBIT C'!H11+'EXHIBIT C(2)'!E14</f>
        <v>18785484</v>
      </c>
      <c r="H13" s="317"/>
    </row>
    <row r="14" spans="1:8" ht="19.899999999999999" customHeight="1">
      <c r="A14" s="971" t="s">
        <v>7</v>
      </c>
      <c r="B14" s="324"/>
      <c r="C14" s="324" t="s">
        <v>27</v>
      </c>
      <c r="D14" s="324"/>
      <c r="E14" s="324"/>
      <c r="F14" s="330" t="s">
        <v>28</v>
      </c>
      <c r="G14" s="1047">
        <f>+'EXHIBIT C'!H12+'EXHIBIT C(2)'!E15</f>
        <v>2000791</v>
      </c>
      <c r="H14" s="317"/>
    </row>
    <row r="15" spans="1:8" ht="19.899999999999999" customHeight="1">
      <c r="A15" s="971" t="s">
        <v>7</v>
      </c>
      <c r="B15" s="324"/>
      <c r="C15" s="331" t="s">
        <v>485</v>
      </c>
      <c r="D15" s="324"/>
      <c r="E15" s="324"/>
      <c r="F15" s="330" t="s">
        <v>29</v>
      </c>
      <c r="G15" s="1047">
        <f>+'EXHIBIT C'!H13+'EXHIBIT C(2)'!E16</f>
        <v>55672</v>
      </c>
      <c r="H15" s="317"/>
    </row>
    <row r="16" spans="1:8" ht="19.899999999999999" customHeight="1">
      <c r="A16" s="971" t="s">
        <v>7</v>
      </c>
      <c r="B16" s="324"/>
      <c r="C16" s="331" t="s">
        <v>484</v>
      </c>
      <c r="D16" s="324"/>
      <c r="E16" s="324"/>
      <c r="F16" s="330" t="s">
        <v>30</v>
      </c>
      <c r="G16" s="1048">
        <f>+'EXHIBIT C'!H14+'EXHIBIT C(2)'!E17</f>
        <v>664663</v>
      </c>
      <c r="H16" s="317"/>
    </row>
    <row r="17" spans="1:8" ht="19.899999999999999" customHeight="1">
      <c r="A17" s="971" t="s">
        <v>7</v>
      </c>
      <c r="B17" s="324"/>
      <c r="C17" s="317" t="s">
        <v>246</v>
      </c>
      <c r="D17" s="324"/>
      <c r="E17" s="324"/>
      <c r="F17" s="333">
        <v>40160</v>
      </c>
      <c r="G17" s="1048">
        <f>+'EXHIBIT C'!H15+'EXHIBIT C(2)'!E18</f>
        <v>0</v>
      </c>
      <c r="H17" s="317"/>
    </row>
    <row r="18" spans="1:8" ht="19.899999999999999" customHeight="1">
      <c r="A18" s="971"/>
      <c r="B18" s="324"/>
      <c r="C18" s="324"/>
      <c r="D18" s="324"/>
      <c r="E18" s="324"/>
      <c r="F18" s="330"/>
      <c r="G18" s="332"/>
      <c r="H18" s="317"/>
    </row>
    <row r="19" spans="1:8" ht="19.899999999999999" customHeight="1">
      <c r="A19" s="973" t="s">
        <v>571</v>
      </c>
      <c r="B19" s="324"/>
      <c r="C19" s="324"/>
      <c r="D19" s="324"/>
      <c r="E19" s="324"/>
      <c r="F19" s="330"/>
      <c r="G19" s="974">
        <f>SUM(G12:G17)</f>
        <v>23168855</v>
      </c>
      <c r="H19" s="317"/>
    </row>
    <row r="20" spans="1:8" ht="19.899999999999999" customHeight="1">
      <c r="A20" s="971"/>
      <c r="B20" s="324"/>
      <c r="C20" s="324"/>
      <c r="D20" s="324"/>
      <c r="E20" s="324"/>
      <c r="F20" s="330"/>
      <c r="G20" s="334"/>
      <c r="H20" s="317"/>
    </row>
    <row r="21" spans="1:8" ht="19.899999999999999" customHeight="1">
      <c r="A21" s="972" t="s">
        <v>376</v>
      </c>
      <c r="B21" s="327"/>
      <c r="C21" s="327" t="s">
        <v>436</v>
      </c>
      <c r="D21" s="327"/>
      <c r="E21" s="327"/>
      <c r="F21" s="328">
        <v>40301</v>
      </c>
      <c r="G21" s="335">
        <f>+'EXHIBIT C'!F19+'EXHIBIT C(2)'!E22</f>
        <v>130643</v>
      </c>
      <c r="H21" s="1061"/>
    </row>
    <row r="22" spans="1:8" ht="19.899999999999999" customHeight="1">
      <c r="A22" s="972" t="s">
        <v>376</v>
      </c>
      <c r="B22" s="324"/>
      <c r="C22" s="317" t="s">
        <v>338</v>
      </c>
      <c r="D22" s="324"/>
      <c r="E22" s="324"/>
      <c r="F22" s="330" t="s">
        <v>34</v>
      </c>
      <c r="G22" s="335">
        <f>+'EXHIBIT C'!F20+'EXHIBIT C(2)'!E23</f>
        <v>3032237</v>
      </c>
      <c r="H22" s="317"/>
    </row>
    <row r="23" spans="1:8" ht="19.899999999999999" customHeight="1">
      <c r="A23" s="972" t="s">
        <v>376</v>
      </c>
      <c r="B23" s="324"/>
      <c r="C23" s="324" t="s">
        <v>27</v>
      </c>
      <c r="D23" s="324"/>
      <c r="E23" s="324"/>
      <c r="F23" s="330" t="s">
        <v>35</v>
      </c>
      <c r="G23" s="340">
        <f>+'EXHIBIT C'!F21+'EXHIBIT C(2)'!E24</f>
        <v>234447</v>
      </c>
      <c r="H23" s="317"/>
    </row>
    <row r="24" spans="1:8" ht="19.899999999999999" customHeight="1">
      <c r="A24" s="972" t="s">
        <v>376</v>
      </c>
      <c r="B24" s="324"/>
      <c r="C24" s="331" t="s">
        <v>485</v>
      </c>
      <c r="D24" s="324"/>
      <c r="E24" s="324"/>
      <c r="F24" s="330" t="s">
        <v>36</v>
      </c>
      <c r="G24" s="340">
        <f>+'EXHIBIT C'!F22+'EXHIBIT C(2)'!E25</f>
        <v>11634</v>
      </c>
      <c r="H24" s="317"/>
    </row>
    <row r="25" spans="1:8" ht="19.899999999999999" customHeight="1">
      <c r="A25" s="972" t="s">
        <v>376</v>
      </c>
      <c r="B25" s="324"/>
      <c r="C25" s="331" t="s">
        <v>484</v>
      </c>
      <c r="D25" s="324"/>
      <c r="E25" s="324"/>
      <c r="F25" s="330" t="s">
        <v>37</v>
      </c>
      <c r="G25" s="340">
        <f>+'EXHIBIT C'!F23+'EXHIBIT C(2)'!E26</f>
        <v>189015</v>
      </c>
      <c r="H25" s="317"/>
    </row>
    <row r="26" spans="1:8" ht="19.899999999999999" customHeight="1">
      <c r="A26" s="972" t="s">
        <v>376</v>
      </c>
      <c r="B26" s="324"/>
      <c r="C26" s="317" t="s">
        <v>246</v>
      </c>
      <c r="D26" s="324"/>
      <c r="E26" s="324"/>
      <c r="F26" s="333">
        <v>40360</v>
      </c>
      <c r="G26" s="340">
        <f>+'EXHIBIT C'!F24+'EXHIBIT C(2)'!E27</f>
        <v>0</v>
      </c>
      <c r="H26" s="317"/>
    </row>
    <row r="27" spans="1:8" ht="19.899999999999999" customHeight="1">
      <c r="A27" s="971"/>
      <c r="B27" s="324"/>
      <c r="C27" s="324"/>
      <c r="D27" s="324"/>
      <c r="E27" s="324"/>
      <c r="F27" s="330"/>
      <c r="G27" s="336"/>
      <c r="H27" s="317"/>
    </row>
    <row r="28" spans="1:8" ht="19.899999999999999" customHeight="1">
      <c r="A28" s="973" t="s">
        <v>536</v>
      </c>
      <c r="B28" s="324"/>
      <c r="C28" s="324"/>
      <c r="D28" s="324"/>
      <c r="E28" s="324"/>
      <c r="F28" s="330"/>
      <c r="G28" s="975">
        <f>SUM(G21:G26)</f>
        <v>3597976</v>
      </c>
      <c r="H28" s="317"/>
    </row>
    <row r="29" spans="1:8" ht="19.899999999999999" customHeight="1">
      <c r="A29" s="971"/>
      <c r="B29" s="324"/>
      <c r="C29" s="324"/>
      <c r="D29" s="324"/>
      <c r="E29" s="324"/>
      <c r="F29" s="330"/>
      <c r="G29" s="337"/>
      <c r="H29" s="317"/>
    </row>
    <row r="30" spans="1:8" ht="19.899999999999999" customHeight="1">
      <c r="A30" s="971" t="s">
        <v>520</v>
      </c>
      <c r="B30" s="324"/>
      <c r="C30" s="1151" t="s">
        <v>31</v>
      </c>
      <c r="D30" s="1151"/>
      <c r="E30" s="1151"/>
      <c r="F30" s="330" t="s">
        <v>32</v>
      </c>
      <c r="G30" s="338">
        <f>'EXHIBIT C'!H32</f>
        <v>0</v>
      </c>
      <c r="H30" s="317"/>
    </row>
    <row r="31" spans="1:8" ht="19.899999999999999" customHeight="1">
      <c r="A31" s="971" t="s">
        <v>520</v>
      </c>
      <c r="B31" s="324"/>
      <c r="C31" s="317" t="s">
        <v>454</v>
      </c>
      <c r="D31" s="324"/>
      <c r="E31" s="324"/>
      <c r="F31" s="330" t="s">
        <v>33</v>
      </c>
      <c r="G31" s="338">
        <f>'EXHIBIT C'!H33</f>
        <v>0</v>
      </c>
      <c r="H31" s="317"/>
    </row>
    <row r="32" spans="1:8" ht="19.899999999999999" customHeight="1">
      <c r="A32" s="971" t="s">
        <v>521</v>
      </c>
      <c r="B32" s="324"/>
      <c r="C32" s="324" t="s">
        <v>31</v>
      </c>
      <c r="D32" s="324"/>
      <c r="E32" s="324"/>
      <c r="F32" s="330" t="s">
        <v>32</v>
      </c>
      <c r="G32" s="338">
        <f>'EXHIBIT C'!H34</f>
        <v>0</v>
      </c>
      <c r="H32" s="317"/>
    </row>
    <row r="33" spans="1:8" ht="19.899999999999999" customHeight="1">
      <c r="A33" s="971" t="s">
        <v>521</v>
      </c>
      <c r="B33" s="324"/>
      <c r="C33" s="317" t="s">
        <v>454</v>
      </c>
      <c r="D33" s="324"/>
      <c r="E33" s="324"/>
      <c r="F33" s="330" t="s">
        <v>33</v>
      </c>
      <c r="G33" s="338">
        <f>'EXHIBIT C'!H35</f>
        <v>0</v>
      </c>
      <c r="H33" s="317"/>
    </row>
    <row r="34" spans="1:8" ht="19.899999999999999" customHeight="1">
      <c r="A34" s="971"/>
      <c r="B34" s="324"/>
      <c r="C34" s="324"/>
      <c r="D34" s="324"/>
      <c r="E34" s="324"/>
      <c r="F34" s="330"/>
      <c r="G34" s="339"/>
      <c r="H34" s="317"/>
    </row>
    <row r="35" spans="1:8" ht="19.899999999999999" customHeight="1">
      <c r="A35" s="973" t="s">
        <v>522</v>
      </c>
      <c r="B35" s="324"/>
      <c r="C35" s="324"/>
      <c r="D35" s="324"/>
      <c r="E35" s="324"/>
      <c r="F35" s="330"/>
      <c r="G35" s="975">
        <f>SUM(G30:G33)</f>
        <v>0</v>
      </c>
      <c r="H35" s="317"/>
    </row>
    <row r="36" spans="1:8" ht="19.899999999999999" customHeight="1">
      <c r="A36" s="971"/>
      <c r="B36" s="324"/>
      <c r="C36" s="324"/>
      <c r="D36" s="324"/>
      <c r="E36" s="324"/>
      <c r="F36" s="330"/>
      <c r="G36" s="336"/>
      <c r="H36" s="317"/>
    </row>
    <row r="37" spans="1:8" ht="19.899999999999999" customHeight="1">
      <c r="A37" s="971" t="s">
        <v>533</v>
      </c>
      <c r="B37" s="324"/>
      <c r="C37" s="324" t="s">
        <v>31</v>
      </c>
      <c r="D37" s="324"/>
      <c r="E37" s="324"/>
      <c r="F37" s="330" t="s">
        <v>38</v>
      </c>
      <c r="G37" s="340">
        <f>'EXHIBIT C'!F39</f>
        <v>0</v>
      </c>
      <c r="H37" s="317"/>
    </row>
    <row r="38" spans="1:8" ht="19.899999999999999" customHeight="1">
      <c r="A38" s="971" t="s">
        <v>533</v>
      </c>
      <c r="B38" s="324"/>
      <c r="C38" s="1152" t="s">
        <v>454</v>
      </c>
      <c r="D38" s="1152"/>
      <c r="E38" s="1152"/>
      <c r="F38" s="330" t="s">
        <v>39</v>
      </c>
      <c r="G38" s="340">
        <f>'EXHIBIT C'!F40</f>
        <v>0</v>
      </c>
      <c r="H38" s="317"/>
    </row>
    <row r="39" spans="1:8" ht="19.899999999999999" customHeight="1">
      <c r="A39" s="971" t="s">
        <v>534</v>
      </c>
      <c r="B39" s="324"/>
      <c r="C39" s="324" t="s">
        <v>31</v>
      </c>
      <c r="D39" s="324"/>
      <c r="E39" s="324"/>
      <c r="F39" s="330" t="s">
        <v>38</v>
      </c>
      <c r="G39" s="340">
        <f>'EXHIBIT C'!F41</f>
        <v>0</v>
      </c>
      <c r="H39" s="317"/>
    </row>
    <row r="40" spans="1:8" ht="19.899999999999999" customHeight="1">
      <c r="A40" s="971" t="s">
        <v>534</v>
      </c>
      <c r="B40" s="324"/>
      <c r="C40" s="1152" t="s">
        <v>454</v>
      </c>
      <c r="D40" s="1152"/>
      <c r="E40" s="1152"/>
      <c r="F40" s="330" t="s">
        <v>39</v>
      </c>
      <c r="G40" s="340">
        <f>'EXHIBIT C'!F42</f>
        <v>0</v>
      </c>
      <c r="H40" s="317"/>
    </row>
    <row r="41" spans="1:8" ht="19.899999999999999" customHeight="1">
      <c r="A41" s="971"/>
      <c r="B41" s="324"/>
      <c r="C41" s="324"/>
      <c r="D41" s="324"/>
      <c r="E41" s="324"/>
      <c r="F41" s="330"/>
      <c r="G41" s="336"/>
      <c r="H41" s="317"/>
    </row>
    <row r="42" spans="1:8" ht="19.899999999999999" customHeight="1">
      <c r="A42" s="973" t="s">
        <v>535</v>
      </c>
      <c r="B42" s="324"/>
      <c r="C42" s="324"/>
      <c r="D42" s="324"/>
      <c r="E42" s="324"/>
      <c r="F42" s="330"/>
      <c r="G42" s="975">
        <f>SUM(G37:G41)</f>
        <v>0</v>
      </c>
      <c r="H42" s="317"/>
    </row>
    <row r="43" spans="1:8" ht="19.899999999999999" customHeight="1">
      <c r="A43" s="971"/>
      <c r="B43" s="324"/>
      <c r="C43" s="324"/>
      <c r="D43" s="324"/>
      <c r="E43" s="324"/>
      <c r="F43" s="330"/>
      <c r="G43" s="337"/>
      <c r="H43" s="317"/>
    </row>
    <row r="44" spans="1:8" ht="19.899999999999999" customHeight="1">
      <c r="A44" s="973" t="s">
        <v>598</v>
      </c>
      <c r="B44" s="324"/>
      <c r="C44" s="324"/>
      <c r="D44" s="324"/>
      <c r="E44" s="324"/>
      <c r="F44" s="330"/>
      <c r="G44" s="341">
        <f>G19+G28+G35+G42</f>
        <v>26766831</v>
      </c>
      <c r="H44" s="317"/>
    </row>
    <row r="45" spans="1:8" ht="19.899999999999999" customHeight="1">
      <c r="A45" s="971"/>
      <c r="B45" s="324"/>
      <c r="C45" s="324"/>
      <c r="D45" s="324"/>
      <c r="E45" s="324"/>
      <c r="F45" s="330"/>
      <c r="G45" s="336"/>
      <c r="H45" s="317"/>
    </row>
    <row r="46" spans="1:8" ht="19.899999999999999" customHeight="1">
      <c r="A46" s="971" t="s">
        <v>48</v>
      </c>
      <c r="B46" s="324"/>
      <c r="C46" s="324"/>
      <c r="D46" s="324"/>
      <c r="E46" s="324"/>
      <c r="F46" s="330" t="s">
        <v>49</v>
      </c>
      <c r="G46" s="849">
        <v>0</v>
      </c>
      <c r="H46" s="317"/>
    </row>
    <row r="47" spans="1:8" ht="19.899999999999999" customHeight="1">
      <c r="A47" s="971" t="s">
        <v>429</v>
      </c>
      <c r="B47" s="342"/>
      <c r="C47" s="342"/>
      <c r="D47" s="342"/>
      <c r="E47" s="342"/>
      <c r="F47" s="343" t="s">
        <v>435</v>
      </c>
      <c r="G47" s="849">
        <v>0</v>
      </c>
      <c r="H47" s="1061"/>
    </row>
    <row r="48" spans="1:8" ht="19.899999999999999" customHeight="1">
      <c r="A48" s="971" t="s">
        <v>486</v>
      </c>
      <c r="B48" s="317"/>
      <c r="C48" s="342"/>
      <c r="D48" s="342"/>
      <c r="E48" s="342"/>
      <c r="F48" s="343" t="s">
        <v>457</v>
      </c>
      <c r="G48" s="849">
        <f>689350</f>
        <v>689350</v>
      </c>
      <c r="H48" s="1061"/>
    </row>
    <row r="49" spans="1:8" ht="19.899999999999999" customHeight="1">
      <c r="A49" s="971" t="s">
        <v>50</v>
      </c>
      <c r="B49" s="324"/>
      <c r="C49" s="324"/>
      <c r="D49" s="324"/>
      <c r="E49" s="324"/>
      <c r="F49" s="344" t="s">
        <v>51</v>
      </c>
      <c r="G49" s="849">
        <v>0</v>
      </c>
      <c r="H49" s="317"/>
    </row>
    <row r="50" spans="1:8" ht="19.899999999999999" customHeight="1">
      <c r="A50" s="971" t="s">
        <v>487</v>
      </c>
      <c r="B50" s="324"/>
      <c r="C50" s="324"/>
      <c r="D50" s="324"/>
      <c r="E50" s="324"/>
      <c r="F50" s="344" t="s">
        <v>52</v>
      </c>
      <c r="G50" s="849">
        <v>2998816</v>
      </c>
      <c r="H50" s="317"/>
    </row>
    <row r="51" spans="1:8" ht="19.899999999999999" customHeight="1">
      <c r="A51" s="971" t="s">
        <v>488</v>
      </c>
      <c r="B51" s="324"/>
      <c r="C51" s="324"/>
      <c r="D51" s="324"/>
      <c r="E51" s="324"/>
      <c r="F51" s="328">
        <v>40450</v>
      </c>
      <c r="G51" s="849">
        <v>1101000</v>
      </c>
      <c r="H51" s="317"/>
    </row>
    <row r="52" spans="1:8" ht="19.899999999999999" customHeight="1">
      <c r="A52" s="971" t="s">
        <v>53</v>
      </c>
      <c r="B52" s="324"/>
      <c r="C52" s="324"/>
      <c r="D52" s="324"/>
      <c r="E52" s="324"/>
      <c r="F52" s="344" t="s">
        <v>54</v>
      </c>
      <c r="G52" s="849">
        <v>288600</v>
      </c>
      <c r="H52" s="317"/>
    </row>
    <row r="53" spans="1:8" ht="19.899999999999999" customHeight="1">
      <c r="A53" s="972" t="s">
        <v>432</v>
      </c>
      <c r="B53" s="327"/>
      <c r="C53" s="327"/>
      <c r="D53" s="327"/>
      <c r="E53" s="327"/>
      <c r="F53" s="343" t="s">
        <v>431</v>
      </c>
      <c r="G53" s="849">
        <v>0</v>
      </c>
      <c r="H53" s="317"/>
    </row>
    <row r="54" spans="1:8" ht="19.899999999999999" customHeight="1">
      <c r="A54" s="972" t="s">
        <v>55</v>
      </c>
      <c r="B54" s="327"/>
      <c r="C54" s="327"/>
      <c r="D54" s="327"/>
      <c r="E54" s="327"/>
      <c r="F54" s="344" t="s">
        <v>56</v>
      </c>
      <c r="G54" s="849">
        <v>0</v>
      </c>
      <c r="H54" s="317"/>
    </row>
    <row r="55" spans="1:8" ht="19.899999999999999" customHeight="1">
      <c r="A55" s="972" t="s">
        <v>433</v>
      </c>
      <c r="B55" s="327"/>
      <c r="C55" s="327"/>
      <c r="D55" s="327"/>
      <c r="E55" s="327"/>
      <c r="F55" s="343" t="s">
        <v>434</v>
      </c>
      <c r="G55" s="849">
        <v>0</v>
      </c>
      <c r="H55" s="317"/>
    </row>
    <row r="56" spans="1:8" ht="19.899999999999999" customHeight="1">
      <c r="A56" s="972" t="s">
        <v>57</v>
      </c>
      <c r="B56" s="327"/>
      <c r="C56" s="327"/>
      <c r="D56" s="327"/>
      <c r="E56" s="327"/>
      <c r="F56" s="344" t="s">
        <v>58</v>
      </c>
      <c r="G56" s="849">
        <v>91875</v>
      </c>
      <c r="H56" s="317"/>
    </row>
    <row r="57" spans="1:8" ht="19.899999999999999" customHeight="1">
      <c r="A57" s="972" t="s">
        <v>59</v>
      </c>
      <c r="B57" s="327"/>
      <c r="C57" s="327"/>
      <c r="D57" s="327"/>
      <c r="E57" s="327"/>
      <c r="F57" s="344" t="s">
        <v>60</v>
      </c>
      <c r="G57" s="849">
        <v>0</v>
      </c>
      <c r="H57" s="317"/>
    </row>
    <row r="58" spans="1:8" ht="19.899999999999999" customHeight="1">
      <c r="A58" s="972" t="s">
        <v>61</v>
      </c>
      <c r="B58" s="327"/>
      <c r="C58" s="327"/>
      <c r="D58" s="327"/>
      <c r="E58" s="327"/>
      <c r="F58" s="345" t="s">
        <v>62</v>
      </c>
      <c r="G58" s="849">
        <v>1381084</v>
      </c>
      <c r="H58" s="317"/>
    </row>
    <row r="59" spans="1:8" ht="19.899999999999999" customHeight="1">
      <c r="A59" s="972" t="s">
        <v>63</v>
      </c>
      <c r="B59" s="327"/>
      <c r="C59" s="327"/>
      <c r="D59" s="327"/>
      <c r="E59" s="327"/>
      <c r="F59" s="344" t="s">
        <v>64</v>
      </c>
      <c r="G59" s="849">
        <f>1534732+465826</f>
        <v>2000558</v>
      </c>
      <c r="H59" s="317"/>
    </row>
    <row r="60" spans="1:8" ht="19.899999999999999" customHeight="1">
      <c r="A60" s="972" t="s">
        <v>489</v>
      </c>
      <c r="B60" s="327"/>
      <c r="C60" s="327"/>
      <c r="D60" s="327"/>
      <c r="E60" s="327"/>
      <c r="F60" s="343" t="s">
        <v>460</v>
      </c>
      <c r="G60" s="849">
        <v>0</v>
      </c>
      <c r="H60" s="317"/>
    </row>
    <row r="61" spans="1:8" ht="19.899999999999999" customHeight="1">
      <c r="A61" s="972" t="s">
        <v>437</v>
      </c>
      <c r="B61" s="327"/>
      <c r="C61" s="327"/>
      <c r="D61" s="327"/>
      <c r="E61" s="327"/>
      <c r="F61" s="343" t="s">
        <v>430</v>
      </c>
      <c r="G61" s="849">
        <v>81469</v>
      </c>
      <c r="H61" s="317"/>
    </row>
    <row r="62" spans="1:8" ht="19.899999999999999" customHeight="1">
      <c r="A62" s="971"/>
      <c r="B62" s="324"/>
      <c r="C62" s="324"/>
      <c r="D62" s="324"/>
      <c r="E62" s="324"/>
      <c r="F62" s="330"/>
      <c r="G62" s="976"/>
      <c r="H62" s="317"/>
    </row>
    <row r="63" spans="1:8" ht="19.899999999999999" customHeight="1">
      <c r="A63" s="973" t="s">
        <v>236</v>
      </c>
      <c r="B63" s="324"/>
      <c r="C63" s="324"/>
      <c r="D63" s="324"/>
      <c r="E63" s="324"/>
      <c r="F63" s="330"/>
      <c r="G63" s="977">
        <f>SUM(G44:G61)</f>
        <v>35399583</v>
      </c>
      <c r="H63" s="317"/>
    </row>
    <row r="64" spans="1:8" ht="19.899999999999999" customHeight="1">
      <c r="A64" s="971"/>
      <c r="B64" s="324"/>
      <c r="C64" s="324"/>
      <c r="D64" s="324"/>
      <c r="E64" s="324"/>
      <c r="F64" s="330"/>
      <c r="G64" s="336"/>
      <c r="H64" s="317"/>
    </row>
    <row r="65" spans="1:8" ht="19.899999999999999" customHeight="1">
      <c r="A65" s="1153" t="s">
        <v>65</v>
      </c>
      <c r="B65" s="1154"/>
      <c r="C65" s="1154"/>
      <c r="D65" s="1154"/>
      <c r="E65" s="1154"/>
      <c r="F65" s="1155"/>
      <c r="G65" s="978"/>
      <c r="H65" s="317"/>
    </row>
    <row r="66" spans="1:8" ht="19.899999999999999" customHeight="1">
      <c r="A66" s="971"/>
      <c r="B66" s="324"/>
      <c r="C66" s="324"/>
      <c r="D66" s="324"/>
      <c r="E66" s="324"/>
      <c r="F66" s="330"/>
      <c r="G66" s="336"/>
      <c r="H66" s="317"/>
    </row>
    <row r="67" spans="1:8" ht="19.899999999999999" customHeight="1">
      <c r="A67" s="971" t="s">
        <v>490</v>
      </c>
      <c r="B67" s="324"/>
      <c r="C67" s="324"/>
      <c r="D67" s="324"/>
      <c r="E67" s="324"/>
      <c r="F67" s="330" t="s">
        <v>66</v>
      </c>
      <c r="G67" s="849">
        <v>0</v>
      </c>
      <c r="H67" s="317"/>
    </row>
    <row r="68" spans="1:8" ht="19.899999999999999" customHeight="1">
      <c r="A68" s="971" t="s">
        <v>491</v>
      </c>
      <c r="B68" s="324"/>
      <c r="C68" s="324"/>
      <c r="D68" s="324"/>
      <c r="E68" s="324"/>
      <c r="F68" s="330" t="s">
        <v>67</v>
      </c>
      <c r="G68" s="849">
        <v>2834574</v>
      </c>
      <c r="H68" s="317"/>
    </row>
    <row r="69" spans="1:8" ht="19.899999999999999" customHeight="1">
      <c r="A69" s="971" t="s">
        <v>278</v>
      </c>
      <c r="B69" s="324"/>
      <c r="C69" s="324"/>
      <c r="D69" s="324"/>
      <c r="E69" s="324"/>
      <c r="F69" s="330" t="s">
        <v>68</v>
      </c>
      <c r="G69" s="849">
        <v>0</v>
      </c>
      <c r="H69" s="317"/>
    </row>
    <row r="70" spans="1:8" ht="19.899999999999999" customHeight="1">
      <c r="A70" s="971"/>
      <c r="B70" s="324"/>
      <c r="C70" s="324"/>
      <c r="D70" s="324"/>
      <c r="E70" s="324"/>
      <c r="F70" s="330"/>
      <c r="G70" s="979"/>
      <c r="H70" s="317"/>
    </row>
    <row r="71" spans="1:8" ht="19.899999999999999" customHeight="1">
      <c r="A71" s="973" t="s">
        <v>237</v>
      </c>
      <c r="B71" s="324"/>
      <c r="C71" s="324"/>
      <c r="D71" s="324"/>
      <c r="E71" s="324"/>
      <c r="F71" s="330"/>
      <c r="G71" s="375">
        <f>SUM(G67:G69)</f>
        <v>2834574</v>
      </c>
      <c r="H71" s="317"/>
    </row>
    <row r="72" spans="1:8" ht="19.899999999999999" customHeight="1">
      <c r="A72" s="980"/>
      <c r="B72" s="981"/>
      <c r="C72" s="981"/>
      <c r="D72" s="981"/>
      <c r="E72" s="981"/>
      <c r="F72" s="982"/>
      <c r="G72" s="983"/>
      <c r="H72" s="317"/>
    </row>
    <row r="73" spans="1:8" ht="19.899999999999999" customHeight="1">
      <c r="A73" s="1153" t="s">
        <v>69</v>
      </c>
      <c r="B73" s="1154"/>
      <c r="C73" s="1154"/>
      <c r="D73" s="1154"/>
      <c r="E73" s="1154"/>
      <c r="F73" s="1155"/>
      <c r="G73" s="984"/>
      <c r="H73" s="317"/>
    </row>
    <row r="74" spans="1:8" ht="19.899999999999999" customHeight="1">
      <c r="A74" s="971"/>
      <c r="B74" s="324"/>
      <c r="C74" s="324"/>
      <c r="D74" s="324"/>
      <c r="E74" s="324"/>
      <c r="F74" s="330"/>
      <c r="G74" s="346"/>
      <c r="H74" s="317"/>
    </row>
    <row r="75" spans="1:8" ht="19.899999999999999" customHeight="1">
      <c r="A75" s="971" t="s">
        <v>492</v>
      </c>
      <c r="B75" s="324"/>
      <c r="C75" s="324"/>
      <c r="D75" s="324"/>
      <c r="E75" s="324"/>
      <c r="F75" s="330" t="s">
        <v>0</v>
      </c>
      <c r="G75" s="1049">
        <f>'CHECK SHEET'!D102</f>
        <v>22840457</v>
      </c>
      <c r="H75" s="317"/>
    </row>
    <row r="76" spans="1:8" ht="19.899999999999999" customHeight="1">
      <c r="A76" s="971" t="s">
        <v>279</v>
      </c>
      <c r="B76" s="324"/>
      <c r="C76" s="324"/>
      <c r="D76" s="324"/>
      <c r="E76" s="324"/>
      <c r="F76" s="333">
        <v>42130</v>
      </c>
      <c r="G76" s="1050">
        <v>0</v>
      </c>
      <c r="H76" s="317"/>
    </row>
    <row r="77" spans="1:8" ht="19.899999999999999" customHeight="1">
      <c r="A77" s="985" t="s">
        <v>595</v>
      </c>
      <c r="B77" s="986"/>
      <c r="C77" s="986"/>
      <c r="D77" s="986"/>
      <c r="E77" s="986"/>
      <c r="F77" s="347" t="s">
        <v>1</v>
      </c>
      <c r="G77" s="1051">
        <v>779798</v>
      </c>
      <c r="H77" s="317"/>
    </row>
    <row r="78" spans="1:8" ht="19.899999999999999" customHeight="1">
      <c r="A78" s="985" t="s">
        <v>280</v>
      </c>
      <c r="B78" s="986"/>
      <c r="C78" s="986"/>
      <c r="D78" s="986"/>
      <c r="E78" s="986"/>
      <c r="F78" s="347" t="s">
        <v>70</v>
      </c>
      <c r="G78" s="1050">
        <v>0</v>
      </c>
      <c r="H78" s="317"/>
    </row>
    <row r="79" spans="1:8" ht="19.899999999999999" customHeight="1">
      <c r="A79" s="971" t="s">
        <v>494</v>
      </c>
      <c r="B79" s="324"/>
      <c r="C79" s="324"/>
      <c r="D79" s="324"/>
      <c r="E79" s="324"/>
      <c r="F79" s="330" t="s">
        <v>71</v>
      </c>
      <c r="G79" s="1050">
        <v>4656</v>
      </c>
      <c r="H79" s="317"/>
    </row>
    <row r="80" spans="1:8" ht="19.899999999999999" customHeight="1">
      <c r="A80" s="971" t="s">
        <v>596</v>
      </c>
      <c r="B80" s="324"/>
      <c r="C80" s="324"/>
      <c r="D80" s="324"/>
      <c r="E80" s="324"/>
      <c r="F80" s="330" t="s">
        <v>72</v>
      </c>
      <c r="G80" s="1050">
        <v>200000</v>
      </c>
      <c r="H80" s="317"/>
    </row>
    <row r="81" spans="1:10" ht="19.899999999999999" customHeight="1">
      <c r="A81" s="971" t="s">
        <v>601</v>
      </c>
      <c r="B81" s="324"/>
      <c r="C81" s="324"/>
      <c r="D81" s="324"/>
      <c r="E81" s="324"/>
      <c r="F81" s="330" t="s">
        <v>73</v>
      </c>
      <c r="G81" s="1049">
        <f>'CHECK SHEET'!D104</f>
        <v>7501101</v>
      </c>
      <c r="H81" s="317"/>
    </row>
    <row r="82" spans="1:10" ht="19.899999999999999" customHeight="1">
      <c r="A82" s="987" t="s">
        <v>493</v>
      </c>
      <c r="B82" s="988"/>
      <c r="C82" s="988"/>
      <c r="D82" s="988"/>
      <c r="E82" s="988"/>
      <c r="F82" s="346" t="s">
        <v>74</v>
      </c>
      <c r="G82" s="1050">
        <v>0</v>
      </c>
      <c r="H82" s="317"/>
    </row>
    <row r="83" spans="1:10" ht="19.899999999999999" customHeight="1">
      <c r="A83" s="971" t="s">
        <v>281</v>
      </c>
      <c r="B83" s="324"/>
      <c r="C83" s="324"/>
      <c r="D83" s="324"/>
      <c r="E83" s="324"/>
      <c r="F83" s="330" t="s">
        <v>75</v>
      </c>
      <c r="G83" s="1050">
        <v>142500</v>
      </c>
      <c r="H83" s="317"/>
    </row>
    <row r="84" spans="1:10" ht="19.899999999999999" customHeight="1">
      <c r="A84" s="971"/>
      <c r="B84" s="324"/>
      <c r="C84" s="324"/>
      <c r="D84" s="324"/>
      <c r="E84" s="324"/>
      <c r="F84" s="330"/>
      <c r="G84" s="989"/>
      <c r="H84" s="317"/>
    </row>
    <row r="85" spans="1:10" ht="19.899999999999999" customHeight="1">
      <c r="A85" s="973" t="s">
        <v>238</v>
      </c>
      <c r="B85" s="324"/>
      <c r="C85" s="324"/>
      <c r="D85" s="324"/>
      <c r="E85" s="324"/>
      <c r="F85" s="330"/>
      <c r="G85" s="376">
        <f>SUM(G75:G83)</f>
        <v>31468512</v>
      </c>
      <c r="H85" s="317"/>
    </row>
    <row r="86" spans="1:10" ht="19.899999999999999" customHeight="1">
      <c r="A86" s="980"/>
      <c r="B86" s="981"/>
      <c r="C86" s="981"/>
      <c r="D86" s="981"/>
      <c r="E86" s="981"/>
      <c r="F86" s="982"/>
      <c r="G86" s="983"/>
      <c r="H86" s="317"/>
    </row>
    <row r="87" spans="1:10" ht="19.899999999999999" customHeight="1">
      <c r="A87" s="1156" t="s">
        <v>76</v>
      </c>
      <c r="B87" s="1157"/>
      <c r="C87" s="1157"/>
      <c r="D87" s="1157"/>
      <c r="E87" s="1157"/>
      <c r="F87" s="1158"/>
      <c r="G87" s="984"/>
      <c r="H87" s="317"/>
    </row>
    <row r="88" spans="1:10" ht="19.899999999999999" customHeight="1">
      <c r="A88" s="971"/>
      <c r="B88" s="324"/>
      <c r="C88" s="324"/>
      <c r="D88" s="324"/>
      <c r="E88" s="324"/>
      <c r="F88" s="330"/>
      <c r="G88" s="346"/>
      <c r="H88" s="317"/>
    </row>
    <row r="89" spans="1:10" ht="19.899999999999999" customHeight="1">
      <c r="A89" s="971" t="s">
        <v>282</v>
      </c>
      <c r="B89" s="324"/>
      <c r="C89" s="324"/>
      <c r="D89" s="324"/>
      <c r="E89" s="324"/>
      <c r="F89" s="330" t="s">
        <v>77</v>
      </c>
      <c r="G89" s="942">
        <v>0</v>
      </c>
      <c r="H89" s="317"/>
    </row>
    <row r="90" spans="1:10" ht="19.899999999999999" customHeight="1">
      <c r="A90" s="972" t="s">
        <v>283</v>
      </c>
      <c r="B90" s="327"/>
      <c r="C90" s="327"/>
      <c r="D90" s="327"/>
      <c r="E90" s="327"/>
      <c r="F90" s="328">
        <v>43518</v>
      </c>
      <c r="G90" s="1052">
        <v>0</v>
      </c>
      <c r="H90" s="317"/>
      <c r="J90" s="348"/>
    </row>
    <row r="91" spans="1:10" ht="19.899999999999999" customHeight="1">
      <c r="A91" s="972" t="s">
        <v>284</v>
      </c>
      <c r="B91" s="327"/>
      <c r="C91" s="327"/>
      <c r="D91" s="327"/>
      <c r="E91" s="327"/>
      <c r="F91" s="328">
        <v>43519</v>
      </c>
      <c r="G91" s="1052">
        <v>0</v>
      </c>
      <c r="H91" s="317"/>
    </row>
    <row r="92" spans="1:10" ht="19.899999999999999" customHeight="1">
      <c r="A92" s="971" t="s">
        <v>285</v>
      </c>
      <c r="B92" s="324"/>
      <c r="C92" s="324"/>
      <c r="D92" s="324"/>
      <c r="E92" s="324"/>
      <c r="F92" s="330" t="s">
        <v>78</v>
      </c>
      <c r="G92" s="849">
        <v>25000</v>
      </c>
      <c r="H92" s="317"/>
    </row>
    <row r="93" spans="1:10" ht="19.899999999999999" customHeight="1">
      <c r="A93" s="990"/>
      <c r="B93" s="991"/>
      <c r="C93" s="991"/>
      <c r="D93" s="991"/>
      <c r="E93" s="991"/>
      <c r="F93" s="992"/>
      <c r="G93" s="993"/>
      <c r="H93" s="317"/>
    </row>
    <row r="94" spans="1:10" ht="19.899999999999999" customHeight="1">
      <c r="A94" s="973" t="s">
        <v>239</v>
      </c>
      <c r="B94" s="324"/>
      <c r="C94" s="324"/>
      <c r="D94" s="324"/>
      <c r="E94" s="324"/>
      <c r="F94" s="349"/>
      <c r="G94" s="994">
        <f>SUM(G89:G92)</f>
        <v>25000</v>
      </c>
      <c r="H94" s="317"/>
    </row>
    <row r="95" spans="1:10" ht="19.899999999999999" customHeight="1">
      <c r="A95" s="971"/>
      <c r="B95" s="324"/>
      <c r="C95" s="324"/>
      <c r="D95" s="324"/>
      <c r="E95" s="324"/>
      <c r="F95" s="330"/>
      <c r="G95" s="350"/>
      <c r="H95" s="317"/>
    </row>
    <row r="96" spans="1:10" ht="19.899999999999999" customHeight="1">
      <c r="A96" s="1138" t="s">
        <v>79</v>
      </c>
      <c r="B96" s="1139"/>
      <c r="C96" s="1139"/>
      <c r="D96" s="1139"/>
      <c r="E96" s="1139"/>
      <c r="F96" s="1140"/>
      <c r="G96" s="1046"/>
      <c r="H96" s="317"/>
    </row>
    <row r="97" spans="1:8" ht="19.899999999999999" customHeight="1">
      <c r="A97" s="971"/>
      <c r="B97" s="324"/>
      <c r="C97" s="324"/>
      <c r="D97" s="324"/>
      <c r="E97" s="324"/>
      <c r="F97" s="330"/>
      <c r="G97" s="350"/>
      <c r="H97" s="317"/>
    </row>
    <row r="98" spans="1:8" ht="19.899999999999999" customHeight="1">
      <c r="A98" s="971" t="s">
        <v>286</v>
      </c>
      <c r="B98" s="324"/>
      <c r="C98" s="324"/>
      <c r="D98" s="324"/>
      <c r="E98" s="324"/>
      <c r="F98" s="330" t="s">
        <v>80</v>
      </c>
      <c r="G98" s="852">
        <v>44000</v>
      </c>
      <c r="H98" s="317"/>
    </row>
    <row r="99" spans="1:8" ht="19.899999999999999" customHeight="1">
      <c r="A99" s="971" t="s">
        <v>289</v>
      </c>
      <c r="B99" s="324"/>
      <c r="C99" s="324"/>
      <c r="D99" s="324"/>
      <c r="E99" s="324"/>
      <c r="F99" s="330" t="s">
        <v>81</v>
      </c>
      <c r="G99" s="850">
        <v>0</v>
      </c>
      <c r="H99" s="317"/>
    </row>
    <row r="100" spans="1:8" ht="19.899999999999999" customHeight="1">
      <c r="A100" s="972" t="s">
        <v>288</v>
      </c>
      <c r="B100" s="327"/>
      <c r="C100" s="327"/>
      <c r="D100" s="327"/>
      <c r="E100" s="327"/>
      <c r="F100" s="351">
        <v>44400</v>
      </c>
      <c r="G100" s="851">
        <v>0</v>
      </c>
      <c r="H100" s="317"/>
    </row>
    <row r="101" spans="1:8" ht="19.899999999999999" customHeight="1">
      <c r="A101" s="971" t="s">
        <v>287</v>
      </c>
      <c r="B101" s="324"/>
      <c r="C101" s="324"/>
      <c r="D101" s="324"/>
      <c r="E101" s="324"/>
      <c r="F101" s="330" t="s">
        <v>82</v>
      </c>
      <c r="G101" s="850">
        <v>152840</v>
      </c>
      <c r="H101" s="317"/>
    </row>
    <row r="102" spans="1:8" ht="19.899999999999999" customHeight="1">
      <c r="A102" s="971"/>
      <c r="B102" s="324"/>
      <c r="C102" s="324"/>
      <c r="D102" s="324"/>
      <c r="E102" s="324"/>
      <c r="F102" s="330"/>
      <c r="G102" s="995"/>
      <c r="H102" s="317"/>
    </row>
    <row r="103" spans="1:8" ht="19.899999999999999" customHeight="1">
      <c r="A103" s="973" t="s">
        <v>240</v>
      </c>
      <c r="B103" s="324"/>
      <c r="C103" s="324"/>
      <c r="D103" s="324"/>
      <c r="E103" s="324"/>
      <c r="F103" s="330"/>
      <c r="G103" s="994">
        <f>SUM(G98:G101)</f>
        <v>196840</v>
      </c>
      <c r="H103" s="317"/>
    </row>
    <row r="104" spans="1:8" ht="19.899999999999999" customHeight="1">
      <c r="A104" s="971"/>
      <c r="B104" s="324"/>
      <c r="C104" s="324"/>
      <c r="D104" s="324"/>
      <c r="E104" s="324"/>
      <c r="F104" s="330"/>
      <c r="G104" s="350"/>
      <c r="H104" s="317"/>
    </row>
    <row r="105" spans="1:8" ht="19.899999999999999" customHeight="1">
      <c r="A105" s="1135" t="s">
        <v>83</v>
      </c>
      <c r="B105" s="1136"/>
      <c r="C105" s="1136"/>
      <c r="D105" s="1136"/>
      <c r="E105" s="1136"/>
      <c r="F105" s="1137"/>
      <c r="G105" s="996"/>
      <c r="H105" s="317"/>
    </row>
    <row r="106" spans="1:8" ht="19.899999999999999" customHeight="1">
      <c r="A106" s="971"/>
      <c r="B106" s="324"/>
      <c r="C106" s="324"/>
      <c r="D106" s="324"/>
      <c r="E106" s="324"/>
      <c r="F106" s="330"/>
      <c r="G106" s="350"/>
      <c r="H106" s="317"/>
    </row>
    <row r="107" spans="1:8" ht="19.899999999999999" customHeight="1">
      <c r="A107" s="971" t="s">
        <v>290</v>
      </c>
      <c r="B107" s="324"/>
      <c r="C107" s="324"/>
      <c r="D107" s="324"/>
      <c r="E107" s="324"/>
      <c r="F107" s="330" t="s">
        <v>84</v>
      </c>
      <c r="G107" s="852">
        <v>0</v>
      </c>
      <c r="H107" s="317"/>
    </row>
    <row r="108" spans="1:8" ht="19.899999999999999" customHeight="1">
      <c r="A108" s="971" t="s">
        <v>291</v>
      </c>
      <c r="B108" s="324"/>
      <c r="C108" s="324"/>
      <c r="D108" s="324"/>
      <c r="E108" s="324"/>
      <c r="F108" s="330" t="s">
        <v>85</v>
      </c>
      <c r="G108" s="943">
        <v>0</v>
      </c>
      <c r="H108" s="317"/>
    </row>
    <row r="109" spans="1:8" ht="19.899999999999999" customHeight="1">
      <c r="A109" s="971" t="s">
        <v>292</v>
      </c>
      <c r="B109" s="324"/>
      <c r="C109" s="324"/>
      <c r="D109" s="324"/>
      <c r="E109" s="324"/>
      <c r="F109" s="330" t="s">
        <v>86</v>
      </c>
      <c r="G109" s="943">
        <v>598743</v>
      </c>
      <c r="H109" s="317"/>
    </row>
    <row r="110" spans="1:8" ht="19.899999999999999" customHeight="1">
      <c r="A110" s="971" t="s">
        <v>293</v>
      </c>
      <c r="B110" s="324"/>
      <c r="C110" s="324"/>
      <c r="D110" s="324"/>
      <c r="E110" s="324"/>
      <c r="F110" s="330" t="s">
        <v>87</v>
      </c>
      <c r="G110" s="943">
        <v>0</v>
      </c>
      <c r="H110" s="317"/>
    </row>
    <row r="111" spans="1:8" ht="19.899999999999999" customHeight="1">
      <c r="A111" s="971" t="s">
        <v>294</v>
      </c>
      <c r="B111" s="324"/>
      <c r="C111" s="324"/>
      <c r="D111" s="324"/>
      <c r="E111" s="324"/>
      <c r="F111" s="330" t="s">
        <v>88</v>
      </c>
      <c r="G111" s="943">
        <v>0</v>
      </c>
      <c r="H111" s="317"/>
    </row>
    <row r="112" spans="1:8" ht="19.899999999999999" customHeight="1">
      <c r="A112" s="971"/>
      <c r="B112" s="324"/>
      <c r="C112" s="324"/>
      <c r="D112" s="324"/>
      <c r="E112" s="324"/>
      <c r="F112" s="330"/>
      <c r="G112" s="997"/>
      <c r="H112" s="317"/>
    </row>
    <row r="113" spans="1:8" ht="19.899999999999999" customHeight="1">
      <c r="A113" s="998" t="s">
        <v>241</v>
      </c>
      <c r="B113" s="999"/>
      <c r="C113" s="999"/>
      <c r="D113" s="999"/>
      <c r="E113" s="999"/>
      <c r="F113" s="1000"/>
      <c r="G113" s="994">
        <f>SUM(G107:G111)</f>
        <v>598743</v>
      </c>
      <c r="H113" s="317"/>
    </row>
    <row r="114" spans="1:8" ht="19.899999999999999" customHeight="1">
      <c r="A114" s="971"/>
      <c r="B114" s="324"/>
      <c r="C114" s="324"/>
      <c r="D114" s="324"/>
      <c r="E114" s="324"/>
      <c r="F114" s="1001"/>
      <c r="G114" s="1002"/>
      <c r="H114" s="317"/>
    </row>
    <row r="115" spans="1:8" ht="19.899999999999999" customHeight="1">
      <c r="A115" s="1003" t="s">
        <v>89</v>
      </c>
      <c r="B115" s="1004"/>
      <c r="C115" s="1004"/>
      <c r="D115" s="1004"/>
      <c r="E115" s="1004"/>
      <c r="F115" s="1005" t="s">
        <v>90</v>
      </c>
      <c r="G115" s="1006">
        <v>0</v>
      </c>
      <c r="H115" s="317"/>
    </row>
    <row r="116" spans="1:8" ht="19.899999999999999" customHeight="1">
      <c r="A116" s="1007"/>
      <c r="B116" s="317"/>
      <c r="C116" s="317"/>
      <c r="D116" s="317"/>
      <c r="E116" s="317"/>
      <c r="F116" s="352"/>
      <c r="G116" s="353"/>
      <c r="H116" s="317"/>
    </row>
    <row r="117" spans="1:8" ht="19.899999999999999" customHeight="1">
      <c r="A117" s="973" t="s">
        <v>242</v>
      </c>
      <c r="B117" s="317"/>
      <c r="C117" s="324"/>
      <c r="D117" s="324"/>
      <c r="E117" s="317"/>
      <c r="F117" s="352"/>
      <c r="G117" s="994">
        <f>G115</f>
        <v>0</v>
      </c>
      <c r="H117" s="317"/>
    </row>
    <row r="118" spans="1:8" ht="19.899999999999999" customHeight="1">
      <c r="A118" s="1007"/>
      <c r="B118" s="317"/>
      <c r="C118" s="317"/>
      <c r="D118" s="317"/>
      <c r="E118" s="317"/>
      <c r="F118" s="352"/>
      <c r="G118" s="350"/>
      <c r="H118" s="317"/>
    </row>
    <row r="119" spans="1:8" ht="19.899999999999999" customHeight="1">
      <c r="A119" s="1138" t="s">
        <v>91</v>
      </c>
      <c r="B119" s="1139"/>
      <c r="C119" s="1139"/>
      <c r="D119" s="1139"/>
      <c r="E119" s="1139"/>
      <c r="F119" s="1140"/>
      <c r="G119" s="1046"/>
      <c r="H119" s="317"/>
    </row>
    <row r="120" spans="1:8" ht="19.899999999999999" customHeight="1">
      <c r="A120" s="971"/>
      <c r="B120" s="324"/>
      <c r="C120" s="324"/>
      <c r="D120" s="324"/>
      <c r="E120" s="324"/>
      <c r="F120" s="330"/>
      <c r="G120" s="350"/>
      <c r="H120" s="317"/>
    </row>
    <row r="121" spans="1:8" ht="19.899999999999999" customHeight="1">
      <c r="A121" s="971" t="s">
        <v>295</v>
      </c>
      <c r="B121" s="324"/>
      <c r="C121" s="324"/>
      <c r="D121" s="324"/>
      <c r="E121" s="324"/>
      <c r="F121" s="330" t="s">
        <v>92</v>
      </c>
      <c r="G121" s="942">
        <v>75987</v>
      </c>
      <c r="H121" s="317"/>
    </row>
    <row r="122" spans="1:8" ht="19.899999999999999" customHeight="1">
      <c r="A122" s="971" t="s">
        <v>296</v>
      </c>
      <c r="B122" s="324"/>
      <c r="C122" s="324"/>
      <c r="D122" s="324"/>
      <c r="E122" s="324"/>
      <c r="F122" s="330" t="s">
        <v>93</v>
      </c>
      <c r="G122" s="943">
        <v>0</v>
      </c>
      <c r="H122" s="317"/>
    </row>
    <row r="123" spans="1:8" ht="19.899999999999999" customHeight="1">
      <c r="A123" s="971" t="s">
        <v>297</v>
      </c>
      <c r="B123" s="324"/>
      <c r="C123" s="324"/>
      <c r="D123" s="324"/>
      <c r="E123" s="324"/>
      <c r="F123" s="330" t="s">
        <v>94</v>
      </c>
      <c r="G123" s="943">
        <v>9276</v>
      </c>
      <c r="H123" s="317"/>
    </row>
    <row r="124" spans="1:8" ht="19.899999999999999" customHeight="1">
      <c r="A124" s="971" t="s">
        <v>298</v>
      </c>
      <c r="B124" s="324"/>
      <c r="C124" s="324"/>
      <c r="D124" s="324"/>
      <c r="E124" s="324"/>
      <c r="F124" s="330" t="s">
        <v>95</v>
      </c>
      <c r="G124" s="943">
        <v>74647</v>
      </c>
      <c r="H124" s="317"/>
    </row>
    <row r="125" spans="1:8" ht="19.899999999999999" customHeight="1">
      <c r="A125" s="971"/>
      <c r="B125" s="324"/>
      <c r="C125" s="324"/>
      <c r="D125" s="324"/>
      <c r="E125" s="324"/>
      <c r="F125" s="330"/>
      <c r="G125" s="997"/>
      <c r="H125" s="317"/>
    </row>
    <row r="126" spans="1:8" ht="19.899999999999999" customHeight="1">
      <c r="A126" s="973" t="s">
        <v>243</v>
      </c>
      <c r="B126" s="324"/>
      <c r="C126" s="324"/>
      <c r="D126" s="324"/>
      <c r="E126" s="324"/>
      <c r="F126" s="330"/>
      <c r="G126" s="994">
        <f>SUM(G121:G124)</f>
        <v>159910</v>
      </c>
      <c r="H126" s="317"/>
    </row>
    <row r="127" spans="1:8" ht="19.899999999999999" customHeight="1">
      <c r="A127" s="971"/>
      <c r="B127" s="324"/>
      <c r="C127" s="324"/>
      <c r="D127" s="324"/>
      <c r="E127" s="324"/>
      <c r="F127" s="330"/>
      <c r="G127" s="350"/>
      <c r="H127" s="317"/>
    </row>
    <row r="128" spans="1:8" ht="19.899999999999999" customHeight="1">
      <c r="A128" s="1141" t="s">
        <v>96</v>
      </c>
      <c r="B128" s="1142"/>
      <c r="C128" s="1142"/>
      <c r="D128" s="1142"/>
      <c r="E128" s="1142"/>
      <c r="F128" s="1143"/>
      <c r="G128" s="1008"/>
      <c r="H128" s="317"/>
    </row>
    <row r="129" spans="1:8" ht="19.899999999999999" customHeight="1">
      <c r="A129" s="971"/>
      <c r="B129" s="324"/>
      <c r="C129" s="324"/>
      <c r="D129" s="324"/>
      <c r="E129" s="324"/>
      <c r="F129" s="330"/>
      <c r="G129" s="350"/>
      <c r="H129" s="317"/>
    </row>
    <row r="130" spans="1:8" ht="19.899999999999999" customHeight="1">
      <c r="A130" s="971" t="s">
        <v>438</v>
      </c>
      <c r="B130" s="324"/>
      <c r="C130" s="324"/>
      <c r="D130" s="1009"/>
      <c r="E130" s="1010"/>
      <c r="F130" s="347" t="s">
        <v>97</v>
      </c>
      <c r="G130" s="852">
        <v>0</v>
      </c>
      <c r="H130" s="317"/>
    </row>
    <row r="131" spans="1:8" ht="19.899999999999999" customHeight="1">
      <c r="A131" s="971" t="s">
        <v>445</v>
      </c>
      <c r="B131" s="324"/>
      <c r="C131" s="324"/>
      <c r="D131" s="1009"/>
      <c r="E131" s="1010"/>
      <c r="F131" s="347" t="s">
        <v>98</v>
      </c>
      <c r="G131" s="850">
        <v>0</v>
      </c>
      <c r="H131" s="317"/>
    </row>
    <row r="132" spans="1:8" ht="19.899999999999999" customHeight="1">
      <c r="A132" s="972" t="s">
        <v>446</v>
      </c>
      <c r="B132" s="327"/>
      <c r="C132" s="327"/>
      <c r="D132" s="1011"/>
      <c r="E132" s="342"/>
      <c r="F132" s="354">
        <v>49230</v>
      </c>
      <c r="G132" s="944">
        <v>163050</v>
      </c>
      <c r="H132" s="317"/>
    </row>
    <row r="133" spans="1:8" ht="19.899999999999999" customHeight="1">
      <c r="A133" s="972" t="s">
        <v>447</v>
      </c>
      <c r="B133" s="327"/>
      <c r="C133" s="327"/>
      <c r="D133" s="1011"/>
      <c r="E133" s="342"/>
      <c r="F133" s="354">
        <v>49240</v>
      </c>
      <c r="G133" s="850">
        <v>0</v>
      </c>
      <c r="H133" s="317"/>
    </row>
    <row r="134" spans="1:8" ht="19.899999999999999" customHeight="1">
      <c r="A134" s="971" t="s">
        <v>299</v>
      </c>
      <c r="B134" s="324"/>
      <c r="C134" s="324"/>
      <c r="D134" s="324"/>
      <c r="E134" s="324"/>
      <c r="F134" s="330" t="s">
        <v>99</v>
      </c>
      <c r="G134" s="850">
        <v>0</v>
      </c>
      <c r="H134" s="317"/>
    </row>
    <row r="135" spans="1:8" ht="19.899999999999999" customHeight="1">
      <c r="A135" s="971" t="s">
        <v>300</v>
      </c>
      <c r="B135" s="324"/>
      <c r="C135" s="324"/>
      <c r="D135" s="324"/>
      <c r="E135" s="324"/>
      <c r="F135" s="333">
        <v>49520</v>
      </c>
      <c r="G135" s="850">
        <v>0</v>
      </c>
      <c r="H135" s="317"/>
    </row>
    <row r="136" spans="1:8" ht="19.899999999999999" customHeight="1">
      <c r="A136" s="971" t="s">
        <v>301</v>
      </c>
      <c r="B136" s="324"/>
      <c r="C136" s="324"/>
      <c r="D136" s="324"/>
      <c r="E136" s="324"/>
      <c r="F136" s="330" t="s">
        <v>100</v>
      </c>
      <c r="G136" s="850">
        <v>73976</v>
      </c>
      <c r="H136" s="317"/>
    </row>
    <row r="137" spans="1:8" ht="19.899999999999999" customHeight="1">
      <c r="A137" s="971" t="s">
        <v>302</v>
      </c>
      <c r="B137" s="324"/>
      <c r="C137" s="324"/>
      <c r="D137" s="324"/>
      <c r="E137" s="324"/>
      <c r="F137" s="330" t="s">
        <v>101</v>
      </c>
      <c r="G137" s="850">
        <v>0</v>
      </c>
      <c r="H137" s="317"/>
    </row>
    <row r="138" spans="1:8" ht="19.899999999999999" customHeight="1">
      <c r="A138" s="971"/>
      <c r="B138" s="324"/>
      <c r="C138" s="324"/>
      <c r="D138" s="324"/>
      <c r="E138" s="324"/>
      <c r="F138" s="330"/>
      <c r="G138" s="1012"/>
      <c r="H138" s="317"/>
    </row>
    <row r="139" spans="1:8" ht="19.899999999999999" customHeight="1">
      <c r="A139" s="973" t="s">
        <v>244</v>
      </c>
      <c r="B139" s="324"/>
      <c r="C139" s="324"/>
      <c r="D139" s="324"/>
      <c r="E139" s="324"/>
      <c r="F139" s="330"/>
      <c r="G139" s="994">
        <f>SUM(G130:G137)</f>
        <v>237026</v>
      </c>
      <c r="H139" s="317"/>
    </row>
    <row r="140" spans="1:8" ht="19.899999999999999" customHeight="1">
      <c r="A140" s="971"/>
      <c r="B140" s="324"/>
      <c r="C140" s="324"/>
      <c r="D140" s="324"/>
      <c r="E140" s="324"/>
      <c r="F140" s="330"/>
      <c r="G140" s="350"/>
      <c r="H140" s="317"/>
    </row>
    <row r="141" spans="1:8" ht="19.899999999999999" customHeight="1" thickBot="1">
      <c r="A141" s="1056" t="s">
        <v>102</v>
      </c>
      <c r="B141" s="1057"/>
      <c r="C141" s="1057"/>
      <c r="D141" s="1057"/>
      <c r="E141" s="1057"/>
      <c r="F141" s="1058"/>
      <c r="G141" s="1060">
        <f>G63+G71+G85+G94+G103+G113+G117+G126+G139</f>
        <v>70920188</v>
      </c>
      <c r="H141" s="317"/>
    </row>
    <row r="142" spans="1:8" ht="19.899999999999999" customHeight="1" thickTop="1">
      <c r="A142" s="980"/>
      <c r="B142" s="981"/>
      <c r="C142" s="981"/>
      <c r="D142" s="981"/>
      <c r="E142" s="981"/>
      <c r="F142" s="1013"/>
      <c r="G142" s="1053"/>
      <c r="H142" s="317"/>
    </row>
    <row r="143" spans="1:8" ht="19.899999999999999" customHeight="1">
      <c r="A143" s="1141" t="s">
        <v>103</v>
      </c>
      <c r="B143" s="1142"/>
      <c r="C143" s="1142"/>
      <c r="D143" s="1142"/>
      <c r="E143" s="1142"/>
      <c r="F143" s="1143"/>
      <c r="G143" s="1014"/>
      <c r="H143" s="317"/>
    </row>
    <row r="144" spans="1:8" ht="19.899999999999999" customHeight="1">
      <c r="A144" s="971"/>
      <c r="B144" s="324"/>
      <c r="C144" s="324"/>
      <c r="D144" s="324"/>
      <c r="E144" s="324"/>
      <c r="F144" s="330"/>
      <c r="G144" s="355"/>
      <c r="H144" s="317"/>
    </row>
    <row r="145" spans="1:8" ht="19.899999999999999" customHeight="1">
      <c r="A145" s="971" t="s">
        <v>303</v>
      </c>
      <c r="B145" s="324"/>
      <c r="C145" s="324"/>
      <c r="D145" s="324"/>
      <c r="E145" s="324"/>
      <c r="F145" s="330" t="s">
        <v>104</v>
      </c>
      <c r="G145" s="853">
        <v>1796219</v>
      </c>
      <c r="H145" s="317"/>
    </row>
    <row r="146" spans="1:8" ht="19.899999999999999" customHeight="1">
      <c r="A146" s="971" t="s">
        <v>304</v>
      </c>
      <c r="B146" s="317"/>
      <c r="C146" s="317"/>
      <c r="D146" s="317"/>
      <c r="E146" s="317"/>
      <c r="F146" s="330" t="s">
        <v>105</v>
      </c>
      <c r="G146" s="854">
        <v>1073990</v>
      </c>
      <c r="H146" s="317"/>
    </row>
    <row r="147" spans="1:8" ht="19.899999999999999" customHeight="1">
      <c r="A147" s="971" t="s">
        <v>306</v>
      </c>
      <c r="B147" s="317"/>
      <c r="C147" s="317"/>
      <c r="D147" s="317"/>
      <c r="E147" s="317"/>
      <c r="F147" s="330" t="s">
        <v>106</v>
      </c>
      <c r="G147" s="854">
        <v>2575417</v>
      </c>
      <c r="H147" s="317"/>
    </row>
    <row r="148" spans="1:8" ht="19.899999999999999" customHeight="1">
      <c r="A148" s="971" t="s">
        <v>305</v>
      </c>
      <c r="B148" s="317"/>
      <c r="C148" s="317"/>
      <c r="D148" s="317"/>
      <c r="E148" s="317"/>
      <c r="F148" s="330" t="s">
        <v>107</v>
      </c>
      <c r="G148" s="854">
        <v>0</v>
      </c>
      <c r="H148" s="317"/>
    </row>
    <row r="149" spans="1:8" ht="19.899999999999999" customHeight="1">
      <c r="A149" s="971" t="s">
        <v>307</v>
      </c>
      <c r="B149" s="317"/>
      <c r="C149" s="317"/>
      <c r="D149" s="317"/>
      <c r="E149" s="317"/>
      <c r="F149" s="330" t="s">
        <v>108</v>
      </c>
      <c r="G149" s="854">
        <v>0</v>
      </c>
      <c r="H149" s="317"/>
    </row>
    <row r="150" spans="1:8" ht="19.899999999999999" customHeight="1">
      <c r="A150" s="971" t="s">
        <v>308</v>
      </c>
      <c r="B150" s="324"/>
      <c r="C150" s="324"/>
      <c r="D150" s="324"/>
      <c r="E150" s="324"/>
      <c r="F150" s="330" t="s">
        <v>109</v>
      </c>
      <c r="G150" s="854">
        <f>11762958+552879+1658614</f>
        <v>13974451</v>
      </c>
      <c r="H150" s="317"/>
    </row>
    <row r="151" spans="1:8" ht="19.899999999999999" customHeight="1">
      <c r="A151" s="971" t="s">
        <v>408</v>
      </c>
      <c r="B151" s="324"/>
      <c r="C151" s="324"/>
      <c r="D151" s="324"/>
      <c r="E151" s="324"/>
      <c r="F151" s="330" t="s">
        <v>110</v>
      </c>
      <c r="G151" s="854">
        <f>11000+684764+686699+943915</f>
        <v>2326378</v>
      </c>
      <c r="H151" s="317"/>
    </row>
    <row r="152" spans="1:8" ht="19.899999999999999" customHeight="1">
      <c r="A152" s="971" t="s">
        <v>309</v>
      </c>
      <c r="B152" s="324"/>
      <c r="C152" s="324"/>
      <c r="D152" s="324"/>
      <c r="E152" s="324"/>
      <c r="F152" s="330" t="s">
        <v>111</v>
      </c>
      <c r="G152" s="854">
        <v>0</v>
      </c>
      <c r="H152" s="317"/>
    </row>
    <row r="153" spans="1:8" ht="19.899999999999999" customHeight="1">
      <c r="A153" s="971" t="s">
        <v>310</v>
      </c>
      <c r="B153" s="324"/>
      <c r="C153" s="324"/>
      <c r="D153" s="324"/>
      <c r="E153" s="324"/>
      <c r="F153" s="330" t="s">
        <v>112</v>
      </c>
      <c r="G153" s="854">
        <v>675978</v>
      </c>
      <c r="H153" s="317"/>
    </row>
    <row r="154" spans="1:8" ht="19.899999999999999" customHeight="1">
      <c r="A154" s="971" t="s">
        <v>311</v>
      </c>
      <c r="B154" s="324"/>
      <c r="C154" s="324"/>
      <c r="D154" s="324"/>
      <c r="E154" s="324"/>
      <c r="F154" s="330" t="s">
        <v>113</v>
      </c>
      <c r="G154" s="854">
        <v>0</v>
      </c>
      <c r="H154" s="317"/>
    </row>
    <row r="155" spans="1:8" ht="19.899999999999999" customHeight="1">
      <c r="A155" s="971" t="s">
        <v>399</v>
      </c>
      <c r="B155" s="324"/>
      <c r="C155" s="324"/>
      <c r="D155" s="324"/>
      <c r="E155" s="324"/>
      <c r="F155" s="333">
        <v>52500</v>
      </c>
      <c r="G155" s="854">
        <v>0</v>
      </c>
      <c r="H155" s="317"/>
    </row>
    <row r="156" spans="1:8" ht="19.899999999999999" customHeight="1">
      <c r="A156" s="971" t="s">
        <v>393</v>
      </c>
      <c r="B156" s="324"/>
      <c r="C156" s="324"/>
      <c r="D156" s="324"/>
      <c r="E156" s="324"/>
      <c r="F156" s="330" t="s">
        <v>114</v>
      </c>
      <c r="G156" s="854">
        <v>0</v>
      </c>
      <c r="H156" s="317"/>
    </row>
    <row r="157" spans="1:8" ht="19.899999999999999" customHeight="1">
      <c r="A157" s="971" t="s">
        <v>312</v>
      </c>
      <c r="B157" s="324"/>
      <c r="C157" s="324"/>
      <c r="D157" s="324"/>
      <c r="E157" s="324"/>
      <c r="F157" s="330" t="s">
        <v>115</v>
      </c>
      <c r="G157" s="854">
        <v>0</v>
      </c>
      <c r="H157" s="317"/>
    </row>
    <row r="158" spans="1:8" ht="19.899999999999999" customHeight="1">
      <c r="A158" s="971" t="s">
        <v>313</v>
      </c>
      <c r="B158" s="324"/>
      <c r="C158" s="324"/>
      <c r="D158" s="324"/>
      <c r="E158" s="324"/>
      <c r="F158" s="330" t="s">
        <v>116</v>
      </c>
      <c r="G158" s="854">
        <v>0</v>
      </c>
      <c r="H158" s="317"/>
    </row>
    <row r="159" spans="1:8" ht="19.899999999999999" customHeight="1">
      <c r="A159" s="971" t="s">
        <v>394</v>
      </c>
      <c r="B159" s="324"/>
      <c r="C159" s="324"/>
      <c r="D159" s="324"/>
      <c r="E159" s="324"/>
      <c r="F159" s="330" t="s">
        <v>117</v>
      </c>
      <c r="G159" s="854">
        <v>274735</v>
      </c>
      <c r="H159" s="317"/>
    </row>
    <row r="160" spans="1:8" ht="19.899999999999999" customHeight="1">
      <c r="A160" s="971" t="s">
        <v>314</v>
      </c>
      <c r="B160" s="324"/>
      <c r="C160" s="324"/>
      <c r="D160" s="324"/>
      <c r="E160" s="324"/>
      <c r="F160" s="330" t="s">
        <v>118</v>
      </c>
      <c r="G160" s="854">
        <f>39283+9784206</f>
        <v>9823489</v>
      </c>
      <c r="H160" s="317"/>
    </row>
    <row r="161" spans="1:8" ht="19.899999999999999" customHeight="1">
      <c r="A161" s="971" t="s">
        <v>409</v>
      </c>
      <c r="B161" s="324"/>
      <c r="C161" s="324"/>
      <c r="D161" s="324"/>
      <c r="E161" s="324"/>
      <c r="F161" s="330" t="s">
        <v>119</v>
      </c>
      <c r="G161" s="854">
        <v>344711</v>
      </c>
      <c r="H161" s="317"/>
    </row>
    <row r="162" spans="1:8" ht="19.899999999999999" customHeight="1">
      <c r="A162" s="971" t="s">
        <v>315</v>
      </c>
      <c r="B162" s="324"/>
      <c r="C162" s="324"/>
      <c r="D162" s="324"/>
      <c r="E162" s="324"/>
      <c r="F162" s="330" t="s">
        <v>120</v>
      </c>
      <c r="G162" s="854">
        <v>0</v>
      </c>
      <c r="H162" s="317"/>
    </row>
    <row r="163" spans="1:8" ht="19.899999999999999" customHeight="1">
      <c r="A163" s="971" t="s">
        <v>401</v>
      </c>
      <c r="B163" s="324"/>
      <c r="C163" s="324"/>
      <c r="D163" s="324"/>
      <c r="E163" s="324"/>
      <c r="F163" s="330" t="s">
        <v>121</v>
      </c>
      <c r="G163" s="854">
        <v>0</v>
      </c>
      <c r="H163" s="317"/>
    </row>
    <row r="164" spans="1:8" ht="19.899999999999999" customHeight="1">
      <c r="A164" s="971" t="s">
        <v>316</v>
      </c>
      <c r="B164" s="324"/>
      <c r="C164" s="324"/>
      <c r="D164" s="324"/>
      <c r="E164" s="324"/>
      <c r="F164" s="330" t="s">
        <v>122</v>
      </c>
      <c r="G164" s="854">
        <v>176863</v>
      </c>
      <c r="H164" s="317"/>
    </row>
    <row r="165" spans="1:8" ht="19.899999999999999" customHeight="1">
      <c r="A165" s="971" t="s">
        <v>317</v>
      </c>
      <c r="B165" s="324"/>
      <c r="C165" s="324"/>
      <c r="D165" s="324"/>
      <c r="E165" s="324"/>
      <c r="F165" s="330" t="s">
        <v>123</v>
      </c>
      <c r="G165" s="854">
        <v>4009199</v>
      </c>
      <c r="H165" s="317"/>
    </row>
    <row r="166" spans="1:8" ht="19.899999999999999" customHeight="1">
      <c r="A166" s="971" t="s">
        <v>318</v>
      </c>
      <c r="B166" s="324"/>
      <c r="C166" s="324"/>
      <c r="D166" s="324"/>
      <c r="E166" s="324"/>
      <c r="F166" s="330" t="s">
        <v>124</v>
      </c>
      <c r="G166" s="854">
        <v>0</v>
      </c>
      <c r="H166" s="317"/>
    </row>
    <row r="167" spans="1:8" ht="19.899999999999999" customHeight="1">
      <c r="A167" s="971" t="s">
        <v>375</v>
      </c>
      <c r="B167" s="324"/>
      <c r="C167" s="324"/>
      <c r="D167" s="324"/>
      <c r="E167" s="324"/>
      <c r="F167" s="330" t="s">
        <v>125</v>
      </c>
      <c r="G167" s="854">
        <v>324842</v>
      </c>
      <c r="H167" s="317"/>
    </row>
    <row r="168" spans="1:8" ht="19.899999999999999" customHeight="1">
      <c r="A168" s="971" t="s">
        <v>410</v>
      </c>
      <c r="B168" s="324"/>
      <c r="C168" s="324"/>
      <c r="D168" s="324"/>
      <c r="E168" s="324"/>
      <c r="F168" s="330" t="s">
        <v>126</v>
      </c>
      <c r="G168" s="854">
        <v>0</v>
      </c>
      <c r="H168" s="317"/>
    </row>
    <row r="169" spans="1:8" ht="19.899999999999999" customHeight="1">
      <c r="A169" s="971" t="s">
        <v>395</v>
      </c>
      <c r="B169" s="324"/>
      <c r="C169" s="324"/>
      <c r="D169" s="324"/>
      <c r="E169" s="324"/>
      <c r="F169" s="330" t="s">
        <v>127</v>
      </c>
      <c r="G169" s="854">
        <v>0</v>
      </c>
      <c r="H169" s="317"/>
    </row>
    <row r="170" spans="1:8" ht="19.899999999999999" customHeight="1">
      <c r="A170" s="971" t="s">
        <v>396</v>
      </c>
      <c r="B170" s="324"/>
      <c r="C170" s="324"/>
      <c r="D170" s="324"/>
      <c r="E170" s="324"/>
      <c r="F170" s="333">
        <v>56001</v>
      </c>
      <c r="G170" s="854">
        <f>5800+1937321+1714377+872148</f>
        <v>4529646</v>
      </c>
      <c r="H170" s="317"/>
    </row>
    <row r="171" spans="1:8" ht="19.899999999999999" customHeight="1">
      <c r="A171" s="971" t="s">
        <v>397</v>
      </c>
      <c r="B171" s="324"/>
      <c r="C171" s="324"/>
      <c r="D171" s="324"/>
      <c r="E171" s="324"/>
      <c r="F171" s="333">
        <v>56002</v>
      </c>
      <c r="G171" s="854">
        <v>0</v>
      </c>
      <c r="H171" s="317"/>
    </row>
    <row r="172" spans="1:8" ht="19.899999999999999" customHeight="1">
      <c r="A172" s="971" t="s">
        <v>398</v>
      </c>
      <c r="B172" s="324"/>
      <c r="C172" s="324"/>
      <c r="D172" s="324"/>
      <c r="E172" s="324"/>
      <c r="F172" s="333">
        <v>56003</v>
      </c>
      <c r="G172" s="854">
        <v>0</v>
      </c>
      <c r="H172" s="317"/>
    </row>
    <row r="173" spans="1:8" ht="19.899999999999999" customHeight="1">
      <c r="A173" s="971" t="s">
        <v>459</v>
      </c>
      <c r="B173" s="324"/>
      <c r="C173" s="324"/>
      <c r="D173" s="324"/>
      <c r="E173" s="324"/>
      <c r="F173" s="356" t="s">
        <v>458</v>
      </c>
      <c r="G173" s="854">
        <v>1183021</v>
      </c>
      <c r="H173" s="317"/>
    </row>
    <row r="174" spans="1:8" ht="19.899999999999999" customHeight="1">
      <c r="A174" s="971" t="s">
        <v>392</v>
      </c>
      <c r="B174" s="324"/>
      <c r="C174" s="324"/>
      <c r="D174" s="324"/>
      <c r="E174" s="324"/>
      <c r="F174" s="330" t="s">
        <v>128</v>
      </c>
      <c r="G174" s="854">
        <v>0</v>
      </c>
      <c r="H174" s="317"/>
    </row>
    <row r="175" spans="1:8" ht="19.899999999999999" customHeight="1">
      <c r="A175" s="1007" t="s">
        <v>319</v>
      </c>
      <c r="B175" s="317"/>
      <c r="C175" s="317"/>
      <c r="D175" s="317"/>
      <c r="E175" s="317"/>
      <c r="F175" s="352" t="s">
        <v>129</v>
      </c>
      <c r="G175" s="854">
        <v>81589</v>
      </c>
      <c r="H175" s="317"/>
    </row>
    <row r="176" spans="1:8" ht="19.899999999999999" customHeight="1">
      <c r="A176" s="971" t="s">
        <v>320</v>
      </c>
      <c r="B176" s="324"/>
      <c r="C176" s="324"/>
      <c r="D176" s="324"/>
      <c r="E176" s="324"/>
      <c r="F176" s="330" t="s">
        <v>130</v>
      </c>
      <c r="G176" s="854">
        <v>0</v>
      </c>
      <c r="H176" s="317"/>
    </row>
    <row r="177" spans="1:8" ht="19.899999999999999" customHeight="1">
      <c r="A177" s="971" t="s">
        <v>321</v>
      </c>
      <c r="B177" s="324"/>
      <c r="C177" s="324"/>
      <c r="D177" s="324"/>
      <c r="E177" s="324"/>
      <c r="F177" s="330" t="s">
        <v>131</v>
      </c>
      <c r="G177" s="854">
        <v>0</v>
      </c>
      <c r="H177" s="317"/>
    </row>
    <row r="178" spans="1:8" ht="19.899999999999999" customHeight="1">
      <c r="A178" s="971" t="s">
        <v>322</v>
      </c>
      <c r="B178" s="324"/>
      <c r="C178" s="324"/>
      <c r="D178" s="324"/>
      <c r="E178" s="324"/>
      <c r="F178" s="330" t="s">
        <v>132</v>
      </c>
      <c r="G178" s="854">
        <v>0</v>
      </c>
      <c r="H178" s="317"/>
    </row>
    <row r="179" spans="1:8" ht="19.899999999999999" customHeight="1">
      <c r="A179" s="971" t="s">
        <v>323</v>
      </c>
      <c r="B179" s="324"/>
      <c r="C179" s="324"/>
      <c r="D179" s="324"/>
      <c r="E179" s="324"/>
      <c r="F179" s="330" t="s">
        <v>133</v>
      </c>
      <c r="G179" s="854">
        <v>0</v>
      </c>
      <c r="H179" s="317"/>
    </row>
    <row r="180" spans="1:8" ht="19.899999999999999" customHeight="1">
      <c r="A180" s="971" t="s">
        <v>324</v>
      </c>
      <c r="B180" s="324"/>
      <c r="C180" s="324"/>
      <c r="D180" s="324"/>
      <c r="E180" s="324"/>
      <c r="F180" s="330" t="s">
        <v>134</v>
      </c>
      <c r="G180" s="854">
        <v>417846</v>
      </c>
      <c r="H180" s="317"/>
    </row>
    <row r="181" spans="1:8" ht="19.899999999999999" customHeight="1">
      <c r="A181" s="971" t="s">
        <v>325</v>
      </c>
      <c r="B181" s="324"/>
      <c r="C181" s="324"/>
      <c r="D181" s="324"/>
      <c r="E181" s="324"/>
      <c r="F181" s="330" t="s">
        <v>135</v>
      </c>
      <c r="G181" s="854">
        <v>0</v>
      </c>
      <c r="H181" s="317"/>
    </row>
    <row r="182" spans="1:8" ht="19.899999999999999" customHeight="1">
      <c r="A182" s="971" t="s">
        <v>326</v>
      </c>
      <c r="B182" s="324"/>
      <c r="C182" s="324"/>
      <c r="D182" s="324"/>
      <c r="E182" s="324"/>
      <c r="F182" s="330" t="s">
        <v>136</v>
      </c>
      <c r="G182" s="854">
        <v>0</v>
      </c>
      <c r="H182" s="317"/>
    </row>
    <row r="183" spans="1:8" ht="19.899999999999999" customHeight="1">
      <c r="A183" s="971" t="s">
        <v>327</v>
      </c>
      <c r="B183" s="324"/>
      <c r="C183" s="324"/>
      <c r="D183" s="324"/>
      <c r="E183" s="324"/>
      <c r="F183" s="330" t="s">
        <v>137</v>
      </c>
      <c r="G183" s="854">
        <v>2913189</v>
      </c>
      <c r="H183" s="317"/>
    </row>
    <row r="184" spans="1:8" ht="19.899999999999999" customHeight="1">
      <c r="A184" s="971" t="s">
        <v>328</v>
      </c>
      <c r="B184" s="324"/>
      <c r="C184" s="324"/>
      <c r="D184" s="324"/>
      <c r="E184" s="324"/>
      <c r="F184" s="330" t="s">
        <v>138</v>
      </c>
      <c r="G184" s="854">
        <v>3187247</v>
      </c>
      <c r="H184" s="317"/>
    </row>
    <row r="185" spans="1:8" ht="19.899999999999999" customHeight="1">
      <c r="A185" s="971" t="s">
        <v>391</v>
      </c>
      <c r="B185" s="324"/>
      <c r="C185" s="324"/>
      <c r="D185" s="324"/>
      <c r="E185" s="324"/>
      <c r="F185" s="330" t="s">
        <v>139</v>
      </c>
      <c r="G185" s="854">
        <v>0</v>
      </c>
      <c r="H185" s="317"/>
    </row>
    <row r="186" spans="1:8" ht="19.899999999999999" customHeight="1">
      <c r="A186" s="971" t="s">
        <v>329</v>
      </c>
      <c r="B186" s="324"/>
      <c r="C186" s="324"/>
      <c r="D186" s="324"/>
      <c r="E186" s="324"/>
      <c r="F186" s="330" t="s">
        <v>140</v>
      </c>
      <c r="G186" s="854">
        <v>0</v>
      </c>
      <c r="H186" s="317"/>
    </row>
    <row r="187" spans="1:8" ht="19.899999999999999" customHeight="1">
      <c r="A187" s="971" t="s">
        <v>330</v>
      </c>
      <c r="B187" s="324"/>
      <c r="C187" s="324"/>
      <c r="D187" s="324"/>
      <c r="E187" s="324"/>
      <c r="F187" s="330" t="s">
        <v>141</v>
      </c>
      <c r="G187" s="854">
        <v>801658</v>
      </c>
      <c r="H187" s="317"/>
    </row>
    <row r="188" spans="1:8" ht="19.899999999999999" customHeight="1">
      <c r="A188" s="971" t="s">
        <v>481</v>
      </c>
      <c r="B188" s="324"/>
      <c r="C188" s="324"/>
      <c r="D188" s="324"/>
      <c r="E188" s="324"/>
      <c r="F188" s="357">
        <v>59600</v>
      </c>
      <c r="G188" s="854">
        <v>0</v>
      </c>
      <c r="H188" s="317"/>
    </row>
    <row r="189" spans="1:8" ht="19.899999999999999" customHeight="1">
      <c r="A189" s="971" t="s">
        <v>331</v>
      </c>
      <c r="B189" s="324"/>
      <c r="C189" s="324"/>
      <c r="D189" s="324"/>
      <c r="E189" s="324"/>
      <c r="F189" s="330" t="s">
        <v>142</v>
      </c>
      <c r="G189" s="854">
        <f>4573924+30000</f>
        <v>4603924</v>
      </c>
      <c r="H189" s="317"/>
    </row>
    <row r="190" spans="1:8" ht="19.899999999999999" customHeight="1">
      <c r="A190" s="971" t="s">
        <v>332</v>
      </c>
      <c r="B190" s="324"/>
      <c r="C190" s="324"/>
      <c r="D190" s="324"/>
      <c r="E190" s="324"/>
      <c r="F190" s="330" t="s">
        <v>143</v>
      </c>
      <c r="G190" s="854">
        <v>0</v>
      </c>
      <c r="H190" s="317"/>
    </row>
    <row r="191" spans="1:8" ht="19.899999999999999" customHeight="1">
      <c r="A191" s="971" t="s">
        <v>333</v>
      </c>
      <c r="B191" s="324"/>
      <c r="C191" s="324"/>
      <c r="D191" s="324"/>
      <c r="E191" s="324"/>
      <c r="F191" s="330" t="s">
        <v>144</v>
      </c>
      <c r="G191" s="854">
        <v>0</v>
      </c>
      <c r="H191" s="317"/>
    </row>
    <row r="192" spans="1:8" ht="19.899999999999999" customHeight="1">
      <c r="A192" s="971"/>
      <c r="B192" s="324"/>
      <c r="C192" s="324"/>
      <c r="D192" s="324"/>
      <c r="E192" s="324"/>
      <c r="F192" s="330"/>
      <c r="G192" s="1015"/>
      <c r="H192" s="317"/>
    </row>
    <row r="193" spans="1:8" ht="19.899999999999999" customHeight="1">
      <c r="A193" s="1038" t="s">
        <v>145</v>
      </c>
      <c r="B193" s="1039"/>
      <c r="C193" s="1039"/>
      <c r="D193" s="1039"/>
      <c r="E193" s="1039"/>
      <c r="F193" s="1054"/>
      <c r="G193" s="1055">
        <f>SUM(G145:G191)</f>
        <v>55094392</v>
      </c>
      <c r="H193" s="317"/>
    </row>
    <row r="194" spans="1:8" ht="19.899999999999999" customHeight="1">
      <c r="A194" s="1016"/>
      <c r="B194" s="358"/>
      <c r="C194" s="358"/>
      <c r="D194" s="358"/>
      <c r="E194" s="358"/>
      <c r="F194" s="377"/>
      <c r="G194" s="359"/>
      <c r="H194" s="317"/>
    </row>
    <row r="195" spans="1:8" ht="19.899999999999999" customHeight="1">
      <c r="A195" s="1017" t="s">
        <v>583</v>
      </c>
      <c r="B195" s="1018"/>
      <c r="C195" s="1018"/>
      <c r="D195" s="1018"/>
      <c r="E195" s="1018"/>
      <c r="F195" s="1019"/>
      <c r="G195" s="1020"/>
      <c r="H195" s="317"/>
    </row>
    <row r="196" spans="1:8" ht="19.899999999999999" customHeight="1">
      <c r="A196" s="971"/>
      <c r="B196" s="324"/>
      <c r="C196" s="324"/>
      <c r="D196" s="324"/>
      <c r="E196" s="324"/>
      <c r="F196" s="330"/>
      <c r="G196" s="355"/>
      <c r="H196" s="317"/>
    </row>
    <row r="197" spans="1:8" ht="19.899999999999999" customHeight="1">
      <c r="A197" s="971" t="s">
        <v>334</v>
      </c>
      <c r="B197" s="324"/>
      <c r="C197" s="324"/>
      <c r="D197" s="324"/>
      <c r="E197" s="324"/>
      <c r="F197" s="330" t="s">
        <v>146</v>
      </c>
      <c r="G197" s="853">
        <f>25184+576676</f>
        <v>601860</v>
      </c>
      <c r="H197" s="317"/>
    </row>
    <row r="198" spans="1:8" ht="19.899999999999999" customHeight="1">
      <c r="A198" s="971" t="s">
        <v>335</v>
      </c>
      <c r="B198" s="324"/>
      <c r="C198" s="324"/>
      <c r="D198" s="324"/>
      <c r="E198" s="324"/>
      <c r="F198" s="330" t="s">
        <v>147</v>
      </c>
      <c r="G198" s="854">
        <v>36999</v>
      </c>
      <c r="H198" s="317"/>
    </row>
    <row r="199" spans="1:8" ht="19.899999999999999" customHeight="1">
      <c r="A199" s="971" t="s">
        <v>336</v>
      </c>
      <c r="B199" s="324"/>
      <c r="C199" s="324"/>
      <c r="D199" s="324"/>
      <c r="E199" s="324"/>
      <c r="F199" s="330" t="s">
        <v>148</v>
      </c>
      <c r="G199" s="854">
        <v>494111</v>
      </c>
      <c r="H199" s="317"/>
    </row>
    <row r="200" spans="1:8" ht="19.899999999999999" customHeight="1">
      <c r="A200" s="971" t="s">
        <v>339</v>
      </c>
      <c r="B200" s="324"/>
      <c r="C200" s="324"/>
      <c r="D200" s="324"/>
      <c r="E200" s="324"/>
      <c r="F200" s="330" t="s">
        <v>149</v>
      </c>
      <c r="G200" s="854">
        <v>305938</v>
      </c>
      <c r="H200" s="317"/>
    </row>
    <row r="201" spans="1:8" ht="19.899999999999999" customHeight="1">
      <c r="A201" s="971" t="s">
        <v>495</v>
      </c>
      <c r="B201" s="324"/>
      <c r="C201" s="324"/>
      <c r="D201" s="324"/>
      <c r="E201" s="324"/>
      <c r="F201" s="330" t="s">
        <v>150</v>
      </c>
      <c r="G201" s="854">
        <v>1064882</v>
      </c>
      <c r="H201" s="317"/>
    </row>
    <row r="202" spans="1:8" ht="19.899999999999999" customHeight="1">
      <c r="A202" s="971" t="s">
        <v>341</v>
      </c>
      <c r="B202" s="324"/>
      <c r="C202" s="324"/>
      <c r="D202" s="324"/>
      <c r="E202" s="324"/>
      <c r="F202" s="330" t="s">
        <v>151</v>
      </c>
      <c r="G202" s="854">
        <f>51020+222630</f>
        <v>273650</v>
      </c>
      <c r="H202" s="317"/>
    </row>
    <row r="203" spans="1:8" ht="19.899999999999999" customHeight="1">
      <c r="A203" s="971" t="s">
        <v>342</v>
      </c>
      <c r="B203" s="324"/>
      <c r="C203" s="324"/>
      <c r="D203" s="324"/>
      <c r="E203" s="324"/>
      <c r="F203" s="330" t="s">
        <v>152</v>
      </c>
      <c r="G203" s="854">
        <f>59690+785000</f>
        <v>844690</v>
      </c>
      <c r="H203" s="317"/>
    </row>
    <row r="204" spans="1:8" ht="19.899999999999999" customHeight="1">
      <c r="A204" s="971" t="s">
        <v>343</v>
      </c>
      <c r="B204" s="324"/>
      <c r="C204" s="324"/>
      <c r="D204" s="324"/>
      <c r="E204" s="324"/>
      <c r="F204" s="330" t="s">
        <v>153</v>
      </c>
      <c r="G204" s="854">
        <v>0</v>
      </c>
      <c r="H204" s="317"/>
    </row>
    <row r="205" spans="1:8" ht="19.899999999999999" customHeight="1">
      <c r="A205" s="971" t="s">
        <v>344</v>
      </c>
      <c r="B205" s="324"/>
      <c r="C205" s="324"/>
      <c r="D205" s="324"/>
      <c r="E205" s="324"/>
      <c r="F205" s="330" t="s">
        <v>154</v>
      </c>
      <c r="G205" s="854">
        <v>0</v>
      </c>
      <c r="H205" s="317"/>
    </row>
    <row r="206" spans="1:8" ht="19.899999999999999" customHeight="1">
      <c r="A206" s="971" t="s">
        <v>345</v>
      </c>
      <c r="B206" s="324"/>
      <c r="C206" s="324"/>
      <c r="D206" s="324"/>
      <c r="E206" s="324"/>
      <c r="F206" s="330" t="s">
        <v>155</v>
      </c>
      <c r="G206" s="854">
        <v>367076</v>
      </c>
      <c r="H206" s="317"/>
    </row>
    <row r="207" spans="1:8" ht="19.899999999999999" customHeight="1">
      <c r="A207" s="971" t="s">
        <v>346</v>
      </c>
      <c r="B207" s="324"/>
      <c r="C207" s="324"/>
      <c r="D207" s="324"/>
      <c r="E207" s="324"/>
      <c r="F207" s="330" t="s">
        <v>156</v>
      </c>
      <c r="G207" s="854">
        <v>1914412</v>
      </c>
      <c r="H207" s="317"/>
    </row>
    <row r="208" spans="1:8" ht="19.899999999999999" customHeight="1">
      <c r="A208" s="971" t="s">
        <v>347</v>
      </c>
      <c r="B208" s="324"/>
      <c r="C208" s="324"/>
      <c r="D208" s="324"/>
      <c r="E208" s="324"/>
      <c r="F208" s="330" t="s">
        <v>157</v>
      </c>
      <c r="G208" s="854">
        <v>99864</v>
      </c>
      <c r="H208" s="317"/>
    </row>
    <row r="209" spans="1:8" ht="19.899999999999999" customHeight="1">
      <c r="A209" s="971" t="s">
        <v>348</v>
      </c>
      <c r="B209" s="324"/>
      <c r="C209" s="324"/>
      <c r="D209" s="324"/>
      <c r="E209" s="324"/>
      <c r="F209" s="330" t="s">
        <v>158</v>
      </c>
      <c r="G209" s="854">
        <v>6864</v>
      </c>
      <c r="H209" s="317"/>
    </row>
    <row r="210" spans="1:8" ht="19.899999999999999" customHeight="1">
      <c r="A210" s="971" t="s">
        <v>349</v>
      </c>
      <c r="B210" s="317"/>
      <c r="C210" s="317"/>
      <c r="D210" s="317"/>
      <c r="E210" s="317"/>
      <c r="F210" s="330" t="s">
        <v>159</v>
      </c>
      <c r="G210" s="854">
        <v>4198</v>
      </c>
      <c r="H210" s="317"/>
    </row>
    <row r="211" spans="1:8" ht="19.899999999999999" customHeight="1">
      <c r="A211" s="971" t="s">
        <v>350</v>
      </c>
      <c r="B211" s="317"/>
      <c r="C211" s="317"/>
      <c r="D211" s="317"/>
      <c r="E211" s="317"/>
      <c r="F211" s="333">
        <v>64007</v>
      </c>
      <c r="G211" s="854">
        <v>0</v>
      </c>
      <c r="H211" s="317"/>
    </row>
    <row r="212" spans="1:8" ht="19.899999999999999" customHeight="1">
      <c r="A212" s="971" t="s">
        <v>351</v>
      </c>
      <c r="B212" s="324"/>
      <c r="C212" s="324"/>
      <c r="D212" s="324"/>
      <c r="E212" s="324"/>
      <c r="F212" s="330" t="s">
        <v>160</v>
      </c>
      <c r="G212" s="854">
        <f>324474+5599401</f>
        <v>5923875</v>
      </c>
      <c r="H212" s="317"/>
    </row>
    <row r="213" spans="1:8" ht="19.899999999999999" customHeight="1">
      <c r="A213" s="971" t="s">
        <v>352</v>
      </c>
      <c r="B213" s="324"/>
      <c r="C213" s="324"/>
      <c r="D213" s="324"/>
      <c r="E213" s="324"/>
      <c r="F213" s="330" t="s">
        <v>161</v>
      </c>
      <c r="G213" s="854">
        <v>0</v>
      </c>
      <c r="H213" s="317"/>
    </row>
    <row r="214" spans="1:8" ht="19.899999999999999" customHeight="1">
      <c r="A214" s="971" t="s">
        <v>353</v>
      </c>
      <c r="B214" s="324"/>
      <c r="C214" s="324"/>
      <c r="D214" s="324"/>
      <c r="E214" s="324"/>
      <c r="F214" s="330" t="s">
        <v>162</v>
      </c>
      <c r="G214" s="854">
        <v>0</v>
      </c>
      <c r="H214" s="317"/>
    </row>
    <row r="215" spans="1:8" ht="19.899999999999999" customHeight="1">
      <c r="A215" s="971" t="s">
        <v>354</v>
      </c>
      <c r="B215" s="324"/>
      <c r="C215" s="324"/>
      <c r="D215" s="324"/>
      <c r="E215" s="324"/>
      <c r="F215" s="330" t="s">
        <v>163</v>
      </c>
      <c r="G215" s="854">
        <v>510010</v>
      </c>
      <c r="H215" s="317"/>
    </row>
    <row r="216" spans="1:8" ht="19.899999999999999" customHeight="1">
      <c r="A216" s="971" t="s">
        <v>406</v>
      </c>
      <c r="B216" s="324"/>
      <c r="C216" s="324"/>
      <c r="D216" s="324"/>
      <c r="E216" s="324"/>
      <c r="F216" s="330" t="s">
        <v>164</v>
      </c>
      <c r="G216" s="854">
        <v>449609</v>
      </c>
      <c r="H216" s="317"/>
    </row>
    <row r="217" spans="1:8" ht="19.899999999999999" customHeight="1">
      <c r="A217" s="971" t="s">
        <v>355</v>
      </c>
      <c r="B217" s="317"/>
      <c r="C217" s="317"/>
      <c r="D217" s="317"/>
      <c r="E217" s="317"/>
      <c r="F217" s="352" t="s">
        <v>165</v>
      </c>
      <c r="G217" s="854">
        <v>653189</v>
      </c>
      <c r="H217" s="317"/>
    </row>
    <row r="218" spans="1:8" ht="19.899999999999999" customHeight="1">
      <c r="A218" s="971" t="s">
        <v>407</v>
      </c>
      <c r="B218" s="324"/>
      <c r="C218" s="324"/>
      <c r="D218" s="324"/>
      <c r="E218" s="324"/>
      <c r="F218" s="330" t="s">
        <v>166</v>
      </c>
      <c r="G218" s="854">
        <v>152185</v>
      </c>
      <c r="H218" s="317"/>
    </row>
    <row r="219" spans="1:8" ht="19.899999999999999" customHeight="1">
      <c r="A219" s="971" t="s">
        <v>356</v>
      </c>
      <c r="B219" s="324"/>
      <c r="C219" s="324"/>
      <c r="D219" s="324"/>
      <c r="E219" s="324"/>
      <c r="F219" s="330" t="s">
        <v>167</v>
      </c>
      <c r="G219" s="854">
        <v>689825</v>
      </c>
      <c r="H219" s="317"/>
    </row>
    <row r="220" spans="1:8" ht="19.899999999999999" customHeight="1">
      <c r="A220" s="972" t="s">
        <v>357</v>
      </c>
      <c r="B220" s="327"/>
      <c r="C220" s="327"/>
      <c r="D220" s="327"/>
      <c r="E220" s="327"/>
      <c r="F220" s="344" t="s">
        <v>168</v>
      </c>
      <c r="G220" s="854">
        <v>105705</v>
      </c>
      <c r="H220" s="317"/>
    </row>
    <row r="221" spans="1:8" ht="19.899999999999999" customHeight="1">
      <c r="A221" s="971" t="s">
        <v>358</v>
      </c>
      <c r="B221" s="324"/>
      <c r="C221" s="324"/>
      <c r="D221" s="324"/>
      <c r="E221" s="324"/>
      <c r="F221" s="349" t="s">
        <v>169</v>
      </c>
      <c r="G221" s="854">
        <v>0</v>
      </c>
      <c r="H221" s="317"/>
    </row>
    <row r="222" spans="1:8" ht="19.899999999999999" customHeight="1">
      <c r="A222" s="971" t="s">
        <v>359</v>
      </c>
      <c r="B222" s="324"/>
      <c r="C222" s="324"/>
      <c r="D222" s="324"/>
      <c r="E222" s="324"/>
      <c r="F222" s="330" t="s">
        <v>170</v>
      </c>
      <c r="G222" s="854">
        <v>37440</v>
      </c>
      <c r="H222" s="317"/>
    </row>
    <row r="223" spans="1:8" ht="19.899999999999999" customHeight="1">
      <c r="A223" s="971" t="s">
        <v>360</v>
      </c>
      <c r="B223" s="324"/>
      <c r="C223" s="324"/>
      <c r="D223" s="324"/>
      <c r="E223" s="324"/>
      <c r="F223" s="330" t="s">
        <v>171</v>
      </c>
      <c r="G223" s="854">
        <v>0</v>
      </c>
      <c r="H223" s="317"/>
    </row>
    <row r="224" spans="1:8" ht="19.899999999999999" customHeight="1">
      <c r="A224" s="971" t="s">
        <v>361</v>
      </c>
      <c r="B224" s="324"/>
      <c r="C224" s="324"/>
      <c r="D224" s="324"/>
      <c r="E224" s="324"/>
      <c r="F224" s="330" t="s">
        <v>172</v>
      </c>
      <c r="G224" s="854">
        <v>2100000</v>
      </c>
      <c r="H224" s="317"/>
    </row>
    <row r="225" spans="1:9" ht="19.899999999999999" customHeight="1">
      <c r="A225" s="971" t="s">
        <v>362</v>
      </c>
      <c r="B225" s="324"/>
      <c r="C225" s="324"/>
      <c r="D225" s="324"/>
      <c r="E225" s="324"/>
      <c r="F225" s="330" t="s">
        <v>173</v>
      </c>
      <c r="G225" s="854">
        <v>0</v>
      </c>
      <c r="H225" s="317"/>
    </row>
    <row r="226" spans="1:9" ht="19.899999999999999" customHeight="1">
      <c r="A226" s="971" t="s">
        <v>363</v>
      </c>
      <c r="B226" s="324"/>
      <c r="C226" s="324"/>
      <c r="D226" s="324"/>
      <c r="E226" s="324"/>
      <c r="F226" s="330" t="s">
        <v>174</v>
      </c>
      <c r="G226" s="854">
        <v>0</v>
      </c>
      <c r="H226" s="317"/>
    </row>
    <row r="227" spans="1:9" ht="19.899999999999999" customHeight="1">
      <c r="A227" s="1021" t="s">
        <v>439</v>
      </c>
      <c r="B227" s="324"/>
      <c r="C227" s="324"/>
      <c r="D227" s="360"/>
      <c r="E227" s="324"/>
      <c r="F227" s="361" t="s">
        <v>234</v>
      </c>
      <c r="G227" s="854">
        <v>0</v>
      </c>
      <c r="H227" s="317"/>
    </row>
    <row r="228" spans="1:9" ht="19.899999999999999" customHeight="1">
      <c r="A228" s="1021" t="s">
        <v>440</v>
      </c>
      <c r="B228" s="362"/>
      <c r="C228" s="362"/>
      <c r="D228" s="363"/>
      <c r="E228" s="362"/>
      <c r="F228" s="364" t="s">
        <v>250</v>
      </c>
      <c r="G228" s="854">
        <v>0</v>
      </c>
      <c r="H228" s="317"/>
    </row>
    <row r="229" spans="1:9" ht="19.899999999999999" customHeight="1">
      <c r="A229" s="1021" t="s">
        <v>441</v>
      </c>
      <c r="B229" s="362"/>
      <c r="C229" s="362"/>
      <c r="D229" s="363"/>
      <c r="E229" s="362"/>
      <c r="F229" s="364" t="s">
        <v>251</v>
      </c>
      <c r="G229" s="854">
        <v>0</v>
      </c>
      <c r="H229" s="317"/>
    </row>
    <row r="230" spans="1:9" ht="19.899999999999999" customHeight="1">
      <c r="A230" s="1021" t="s">
        <v>442</v>
      </c>
      <c r="B230" s="362"/>
      <c r="C230" s="362"/>
      <c r="D230" s="363"/>
      <c r="E230" s="362"/>
      <c r="F230" s="365" t="s">
        <v>175</v>
      </c>
      <c r="G230" s="854">
        <v>0</v>
      </c>
      <c r="H230" s="317"/>
    </row>
    <row r="231" spans="1:9" ht="19.899999999999999" customHeight="1">
      <c r="A231" s="1021" t="s">
        <v>448</v>
      </c>
      <c r="B231" s="362"/>
      <c r="C231" s="362"/>
      <c r="D231" s="363"/>
      <c r="E231" s="362"/>
      <c r="F231" s="366">
        <v>69270</v>
      </c>
      <c r="G231" s="854">
        <v>0</v>
      </c>
      <c r="H231" s="317"/>
    </row>
    <row r="232" spans="1:9" ht="19.899999999999999" customHeight="1">
      <c r="A232" s="971" t="s">
        <v>366</v>
      </c>
      <c r="B232" s="324"/>
      <c r="C232" s="324"/>
      <c r="D232" s="324"/>
      <c r="E232" s="324"/>
      <c r="F232" s="330" t="s">
        <v>176</v>
      </c>
      <c r="G232" s="854">
        <v>0</v>
      </c>
      <c r="H232" s="317"/>
      <c r="I232" s="367"/>
    </row>
    <row r="233" spans="1:9" ht="19.899999999999999" customHeight="1">
      <c r="A233" s="971" t="s">
        <v>597</v>
      </c>
      <c r="B233" s="324"/>
      <c r="C233" s="324"/>
      <c r="D233" s="324"/>
      <c r="E233" s="324"/>
      <c r="F233" s="330" t="s">
        <v>177</v>
      </c>
      <c r="G233" s="854">
        <v>0</v>
      </c>
      <c r="H233" s="317"/>
    </row>
    <row r="234" spans="1:9" ht="19.899999999999999" customHeight="1">
      <c r="A234" s="971" t="s">
        <v>367</v>
      </c>
      <c r="B234" s="324"/>
      <c r="C234" s="324"/>
      <c r="D234" s="324"/>
      <c r="E234" s="324"/>
      <c r="F234" s="330" t="s">
        <v>178</v>
      </c>
      <c r="G234" s="1022">
        <v>300000</v>
      </c>
      <c r="H234" s="317"/>
    </row>
    <row r="235" spans="1:9" ht="19.899999999999999" customHeight="1">
      <c r="A235" s="971"/>
      <c r="B235" s="324"/>
      <c r="C235" s="324"/>
      <c r="D235" s="324"/>
      <c r="E235" s="324"/>
      <c r="F235" s="330"/>
      <c r="G235" s="368"/>
      <c r="H235" s="317"/>
    </row>
    <row r="236" spans="1:9" ht="19.899999999999999" customHeight="1">
      <c r="A236" s="1003" t="s">
        <v>584</v>
      </c>
      <c r="B236" s="981"/>
      <c r="C236" s="981"/>
      <c r="D236" s="981"/>
      <c r="E236" s="981"/>
      <c r="F236" s="982"/>
      <c r="G236" s="1023">
        <f>SUM(G197:G234)</f>
        <v>16936382</v>
      </c>
      <c r="H236" s="317"/>
    </row>
    <row r="237" spans="1:9" ht="19.899999999999999" customHeight="1">
      <c r="A237" s="1016"/>
      <c r="B237" s="358"/>
      <c r="C237" s="358"/>
      <c r="D237" s="358"/>
      <c r="E237" s="358"/>
      <c r="F237" s="1024"/>
      <c r="G237" s="1025"/>
      <c r="H237" s="317"/>
    </row>
    <row r="238" spans="1:9" ht="19.899999999999999" customHeight="1">
      <c r="A238" s="1144" t="s">
        <v>13</v>
      </c>
      <c r="B238" s="1145"/>
      <c r="C238" s="1145"/>
      <c r="D238" s="1145"/>
      <c r="E238" s="1145"/>
      <c r="F238" s="1146"/>
      <c r="G238" s="1026"/>
      <c r="H238" s="317"/>
    </row>
    <row r="239" spans="1:9" ht="19.899999999999999" customHeight="1">
      <c r="A239" s="971"/>
      <c r="B239" s="324"/>
      <c r="C239" s="324"/>
      <c r="D239" s="324"/>
      <c r="E239" s="324"/>
      <c r="F239" s="330"/>
      <c r="G239" s="368"/>
      <c r="H239" s="317"/>
    </row>
    <row r="240" spans="1:9" ht="19.899999999999999" customHeight="1">
      <c r="A240" s="972" t="s">
        <v>370</v>
      </c>
      <c r="B240" s="327"/>
      <c r="C240" s="327"/>
      <c r="D240" s="327"/>
      <c r="E240" s="327"/>
      <c r="F240" s="344" t="s">
        <v>180</v>
      </c>
      <c r="G240" s="855">
        <v>0</v>
      </c>
      <c r="H240" s="317"/>
    </row>
    <row r="241" spans="1:10" ht="19.899999999999999" customHeight="1">
      <c r="A241" s="972" t="s">
        <v>449</v>
      </c>
      <c r="B241" s="327"/>
      <c r="C241" s="327"/>
      <c r="D241" s="327"/>
      <c r="E241" s="327"/>
      <c r="F241" s="344" t="s">
        <v>181</v>
      </c>
      <c r="G241" s="856">
        <v>88086</v>
      </c>
      <c r="H241" s="317"/>
    </row>
    <row r="242" spans="1:10" ht="19.899999999999999" customHeight="1">
      <c r="A242" s="971" t="s">
        <v>368</v>
      </c>
      <c r="B242" s="324"/>
      <c r="C242" s="324"/>
      <c r="D242" s="324"/>
      <c r="E242" s="324"/>
      <c r="F242" s="330" t="s">
        <v>182</v>
      </c>
      <c r="G242" s="856">
        <f>44346+25667+19251</f>
        <v>89264</v>
      </c>
      <c r="H242" s="317"/>
    </row>
    <row r="243" spans="1:10" ht="19.899999999999999" customHeight="1">
      <c r="A243" s="972" t="s">
        <v>369</v>
      </c>
      <c r="B243" s="327"/>
      <c r="C243" s="327"/>
      <c r="D243" s="327"/>
      <c r="E243" s="327"/>
      <c r="F243" s="344" t="s">
        <v>183</v>
      </c>
      <c r="G243" s="856">
        <v>0</v>
      </c>
      <c r="H243" s="1061"/>
      <c r="I243" s="320"/>
    </row>
    <row r="244" spans="1:10" ht="19.899999999999999" customHeight="1">
      <c r="A244" s="972" t="s">
        <v>499</v>
      </c>
      <c r="B244" s="327"/>
      <c r="C244" s="327"/>
      <c r="D244" s="327"/>
      <c r="E244" s="327"/>
      <c r="F244" s="351">
        <v>73050</v>
      </c>
      <c r="G244" s="856">
        <v>0</v>
      </c>
      <c r="H244" s="1061"/>
      <c r="I244" s="320"/>
    </row>
    <row r="245" spans="1:10" ht="19.899999999999999" customHeight="1">
      <c r="A245" s="972" t="s">
        <v>372</v>
      </c>
      <c r="B245" s="327"/>
      <c r="C245" s="327"/>
      <c r="D245" s="327"/>
      <c r="E245" s="327"/>
      <c r="F245" s="344" t="s">
        <v>184</v>
      </c>
      <c r="G245" s="856">
        <v>0</v>
      </c>
      <c r="H245" s="1061"/>
      <c r="I245" s="320"/>
    </row>
    <row r="246" spans="1:10" ht="19.899999999999999" customHeight="1">
      <c r="A246" s="972" t="s">
        <v>498</v>
      </c>
      <c r="B246" s="327"/>
      <c r="C246" s="327"/>
      <c r="D246" s="327"/>
      <c r="E246" s="327"/>
      <c r="F246" s="344" t="s">
        <v>185</v>
      </c>
      <c r="G246" s="856">
        <v>0</v>
      </c>
      <c r="H246" s="1061"/>
      <c r="I246" s="320"/>
      <c r="J246" s="320"/>
    </row>
    <row r="247" spans="1:10" s="320" customFormat="1" ht="19.899999999999999" customHeight="1">
      <c r="A247" s="972" t="s">
        <v>373</v>
      </c>
      <c r="B247" s="327"/>
      <c r="C247" s="327"/>
      <c r="D247" s="327"/>
      <c r="E247" s="327"/>
      <c r="F247" s="344" t="s">
        <v>186</v>
      </c>
      <c r="G247" s="856">
        <v>0</v>
      </c>
      <c r="H247" s="1061"/>
    </row>
    <row r="248" spans="1:10" ht="19.899999999999999" customHeight="1">
      <c r="A248" s="972" t="s">
        <v>496</v>
      </c>
      <c r="B248" s="327"/>
      <c r="C248" s="327"/>
      <c r="D248" s="327"/>
      <c r="E248" s="327"/>
      <c r="F248" s="344" t="s">
        <v>187</v>
      </c>
      <c r="G248" s="856">
        <v>0</v>
      </c>
      <c r="H248" s="1061"/>
      <c r="I248" s="320"/>
      <c r="J248" s="320"/>
    </row>
    <row r="249" spans="1:10" ht="19.899999999999999" customHeight="1">
      <c r="A249" s="972" t="s">
        <v>374</v>
      </c>
      <c r="B249" s="327"/>
      <c r="C249" s="327"/>
      <c r="D249" s="327"/>
      <c r="E249" s="327"/>
      <c r="F249" s="344" t="s">
        <v>188</v>
      </c>
      <c r="G249" s="856">
        <v>0</v>
      </c>
      <c r="H249" s="1061"/>
      <c r="I249" s="320"/>
    </row>
    <row r="250" spans="1:10" ht="19.899999999999999" customHeight="1">
      <c r="A250" s="972"/>
      <c r="B250" s="327"/>
      <c r="C250" s="327"/>
      <c r="D250" s="327"/>
      <c r="E250" s="327"/>
      <c r="F250" s="344"/>
      <c r="G250" s="1027"/>
      <c r="H250" s="1061"/>
      <c r="I250" s="320"/>
    </row>
    <row r="251" spans="1:10" ht="19.899999999999999" customHeight="1">
      <c r="A251" s="1003" t="s">
        <v>189</v>
      </c>
      <c r="B251" s="981"/>
      <c r="C251" s="981"/>
      <c r="D251" s="981"/>
      <c r="E251" s="981"/>
      <c r="F251" s="982"/>
      <c r="G251" s="1023">
        <f>SUM(G240:G249)</f>
        <v>177350</v>
      </c>
      <c r="H251" s="317"/>
    </row>
    <row r="252" spans="1:10" ht="19.899999999999999" customHeight="1">
      <c r="A252" s="1016"/>
      <c r="B252" s="358"/>
      <c r="C252" s="358"/>
      <c r="D252" s="358"/>
      <c r="E252" s="358"/>
      <c r="F252" s="358"/>
      <c r="G252" s="1028"/>
      <c r="H252" s="317"/>
    </row>
    <row r="253" spans="1:10" ht="19.899999999999999" customHeight="1" thickBot="1">
      <c r="A253" s="1056" t="s">
        <v>235</v>
      </c>
      <c r="B253" s="1057"/>
      <c r="C253" s="1057"/>
      <c r="D253" s="1057"/>
      <c r="E253" s="1057"/>
      <c r="F253" s="1058"/>
      <c r="G253" s="1059">
        <f>SUM(G193+G236+G251)</f>
        <v>72208124</v>
      </c>
      <c r="H253" s="317"/>
    </row>
    <row r="254" spans="1:10" ht="19.899999999999999" customHeight="1" thickTop="1">
      <c r="A254" s="1029"/>
      <c r="B254" s="1030"/>
      <c r="C254" s="1030"/>
      <c r="D254" s="1030"/>
      <c r="E254" s="1030"/>
      <c r="F254" s="1031"/>
      <c r="G254" s="1032"/>
      <c r="H254" s="317"/>
    </row>
    <row r="255" spans="1:10" ht="19.899999999999999" customHeight="1">
      <c r="A255" s="1147"/>
      <c r="B255" s="1148"/>
      <c r="C255" s="1148"/>
      <c r="D255" s="1148"/>
      <c r="E255" s="1148"/>
      <c r="F255" s="1149"/>
      <c r="G255" s="1033"/>
      <c r="H255" s="317"/>
    </row>
    <row r="256" spans="1:10" ht="19.899999999999999" customHeight="1">
      <c r="A256" s="971"/>
      <c r="B256" s="324"/>
      <c r="C256" s="324"/>
      <c r="D256" s="324"/>
      <c r="E256" s="324"/>
      <c r="F256" s="330"/>
      <c r="G256" s="368"/>
      <c r="H256" s="317"/>
    </row>
    <row r="257" spans="1:12" ht="19.899999999999999" customHeight="1">
      <c r="A257" s="971" t="s">
        <v>190</v>
      </c>
      <c r="B257" s="324"/>
      <c r="C257" s="324"/>
      <c r="D257" s="324"/>
      <c r="E257" s="324"/>
      <c r="F257" s="369">
        <v>30100</v>
      </c>
      <c r="G257" s="853">
        <v>1200000</v>
      </c>
      <c r="H257" s="317"/>
    </row>
    <row r="258" spans="1:12" ht="19.899999999999999" customHeight="1">
      <c r="A258" s="971" t="s">
        <v>497</v>
      </c>
      <c r="B258" s="324"/>
      <c r="C258" s="324"/>
      <c r="D258" s="324"/>
      <c r="E258" s="324"/>
      <c r="F258" s="369">
        <v>30200</v>
      </c>
      <c r="G258" s="854">
        <v>0</v>
      </c>
      <c r="H258" s="317"/>
    </row>
    <row r="259" spans="1:12" ht="19.899999999999999" customHeight="1">
      <c r="A259" s="971" t="s">
        <v>191</v>
      </c>
      <c r="B259" s="324"/>
      <c r="C259" s="324"/>
      <c r="D259" s="324"/>
      <c r="E259" s="324"/>
      <c r="F259" s="369">
        <v>30300</v>
      </c>
      <c r="G259" s="854">
        <v>0</v>
      </c>
      <c r="H259" s="317"/>
    </row>
    <row r="260" spans="1:12" ht="19.899999999999999" customHeight="1">
      <c r="A260" s="971" t="s">
        <v>192</v>
      </c>
      <c r="B260" s="324"/>
      <c r="C260" s="324"/>
      <c r="D260" s="324"/>
      <c r="E260" s="324"/>
      <c r="F260" s="369">
        <v>30400</v>
      </c>
      <c r="G260" s="854">
        <v>0</v>
      </c>
      <c r="H260" s="317"/>
    </row>
    <row r="261" spans="1:12" ht="19.899999999999999" customHeight="1">
      <c r="A261" s="971" t="s">
        <v>193</v>
      </c>
      <c r="B261" s="324"/>
      <c r="C261" s="324"/>
      <c r="D261" s="324"/>
      <c r="E261" s="324"/>
      <c r="F261" s="369">
        <v>30500</v>
      </c>
      <c r="G261" s="854">
        <v>0</v>
      </c>
      <c r="H261" s="317"/>
    </row>
    <row r="262" spans="1:12" ht="19.899999999999999" customHeight="1">
      <c r="A262" s="971" t="s">
        <v>194</v>
      </c>
      <c r="B262" s="324"/>
      <c r="C262" s="324"/>
      <c r="D262" s="324"/>
      <c r="E262" s="324"/>
      <c r="F262" s="369">
        <v>30600</v>
      </c>
      <c r="G262" s="854">
        <v>0</v>
      </c>
      <c r="H262" s="317"/>
    </row>
    <row r="263" spans="1:12" ht="19.899999999999999" customHeight="1">
      <c r="A263" s="971" t="s">
        <v>195</v>
      </c>
      <c r="B263" s="324"/>
      <c r="C263" s="324"/>
      <c r="D263" s="324"/>
      <c r="E263" s="324"/>
      <c r="F263" s="369">
        <v>30700</v>
      </c>
      <c r="G263" s="854">
        <v>0</v>
      </c>
      <c r="H263" s="317"/>
    </row>
    <row r="264" spans="1:12" ht="19.899999999999999" customHeight="1">
      <c r="A264" s="971" t="s">
        <v>196</v>
      </c>
      <c r="B264" s="324"/>
      <c r="C264" s="324"/>
      <c r="D264" s="324"/>
      <c r="E264" s="324"/>
      <c r="F264" s="369">
        <v>30900</v>
      </c>
      <c r="G264" s="854">
        <v>3709618</v>
      </c>
      <c r="H264" s="317"/>
    </row>
    <row r="265" spans="1:12" ht="19.899999999999999" customHeight="1">
      <c r="A265" s="971" t="s">
        <v>197</v>
      </c>
      <c r="B265" s="324"/>
      <c r="C265" s="324"/>
      <c r="D265" s="324"/>
      <c r="E265" s="324"/>
      <c r="F265" s="369">
        <v>31100</v>
      </c>
      <c r="G265" s="1034">
        <f>3597918-1200000</f>
        <v>2397918</v>
      </c>
      <c r="H265" s="317"/>
    </row>
    <row r="266" spans="1:12" ht="19.899999999999999" customHeight="1">
      <c r="A266" s="971"/>
      <c r="B266" s="324"/>
      <c r="C266" s="324"/>
      <c r="D266" s="324"/>
      <c r="E266" s="324"/>
      <c r="F266" s="369"/>
      <c r="G266" s="1035"/>
      <c r="H266" s="317"/>
    </row>
    <row r="267" spans="1:12" ht="19.899999999999999" customHeight="1">
      <c r="A267" s="973" t="s">
        <v>476</v>
      </c>
      <c r="B267" s="324"/>
      <c r="C267" s="324"/>
      <c r="D267" s="324"/>
      <c r="E267" s="324"/>
      <c r="F267" s="369"/>
      <c r="G267" s="1036">
        <f>SUM(G257:G265)</f>
        <v>7307536</v>
      </c>
      <c r="H267" s="317"/>
    </row>
    <row r="268" spans="1:12" ht="19.899999999999999" customHeight="1">
      <c r="A268" s="973"/>
      <c r="B268" s="324"/>
      <c r="C268" s="324"/>
      <c r="D268" s="324"/>
      <c r="E268" s="324"/>
      <c r="F268" s="369"/>
      <c r="G268" s="368"/>
      <c r="H268" s="317"/>
    </row>
    <row r="269" spans="1:12" ht="19.899999999999999" customHeight="1" thickBot="1">
      <c r="A269" s="1037" t="s">
        <v>720</v>
      </c>
      <c r="B269" s="317"/>
      <c r="C269" s="317"/>
      <c r="D269" s="317"/>
      <c r="E269" s="317"/>
      <c r="F269" s="352">
        <v>30800</v>
      </c>
      <c r="G269" s="857">
        <v>-22905955</v>
      </c>
      <c r="H269" s="1062"/>
    </row>
    <row r="270" spans="1:12" ht="19.899999999999999" customHeight="1">
      <c r="A270" s="1007"/>
      <c r="B270" s="317"/>
      <c r="C270" s="317"/>
      <c r="D270" s="317"/>
      <c r="E270" s="317"/>
      <c r="F270" s="352"/>
      <c r="G270" s="368"/>
      <c r="H270" s="317"/>
    </row>
    <row r="271" spans="1:12" ht="19.899999999999999" customHeight="1">
      <c r="A271" s="1038" t="s">
        <v>245</v>
      </c>
      <c r="B271" s="1039"/>
      <c r="C271" s="1039"/>
      <c r="D271" s="1039"/>
      <c r="E271" s="1039"/>
      <c r="F271" s="1040"/>
      <c r="G271" s="1041">
        <f>G267+G269</f>
        <v>-15598419</v>
      </c>
      <c r="H271" s="1063"/>
    </row>
    <row r="272" spans="1:12">
      <c r="A272" s="370"/>
      <c r="B272" s="370"/>
      <c r="C272" s="370"/>
      <c r="D272" s="370"/>
      <c r="E272" s="370"/>
      <c r="F272" s="371"/>
      <c r="G272" s="372"/>
      <c r="H272" s="373"/>
      <c r="I272" s="373"/>
      <c r="J272" s="373"/>
      <c r="K272" s="373"/>
      <c r="L272" s="373"/>
    </row>
    <row r="273" spans="1:12" s="320" customFormat="1" ht="13.5" customHeight="1">
      <c r="A273" s="1150"/>
      <c r="B273" s="1150"/>
      <c r="C273" s="1150"/>
      <c r="D273" s="1150"/>
      <c r="E273" s="1150"/>
      <c r="F273" s="1150"/>
      <c r="G273" s="1150"/>
      <c r="H273" s="1150"/>
      <c r="I273" s="374"/>
      <c r="J273" s="374"/>
      <c r="K273" s="374"/>
      <c r="L273" s="374"/>
    </row>
    <row r="274" spans="1:12" s="320" customFormat="1">
      <c r="A274" s="1150"/>
      <c r="B274" s="1150"/>
      <c r="C274" s="1150"/>
      <c r="D274" s="1150"/>
      <c r="E274" s="1150"/>
      <c r="F274" s="1150"/>
      <c r="G274" s="1150"/>
      <c r="H274" s="1150"/>
      <c r="I274" s="374"/>
      <c r="J274" s="374"/>
      <c r="K274" s="374"/>
      <c r="L274" s="374"/>
    </row>
    <row r="275" spans="1:12" s="320" customFormat="1">
      <c r="A275" s="1150"/>
      <c r="B275" s="1150"/>
      <c r="C275" s="1150"/>
      <c r="D275" s="1150"/>
      <c r="E275" s="1150"/>
      <c r="F275" s="1150"/>
      <c r="G275" s="1150"/>
      <c r="H275" s="1150"/>
    </row>
  </sheetData>
  <sheetProtection algorithmName="SHA-512" hashValue="uJJbhKwQIuOP6nfLwH6YpoJ4zM96mq8OHbVc7HCuZEVboIf6ovcHCXEVa87T1Qufe3belaBKjL+jijH39dqMQg==" saltValue="D0dk9dEo1CVv7CQ5zxVL2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1"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2018-07-06T13:45:33Z</cp:lastPrinted>
  <dcterms:created xsi:type="dcterms:W3CDTF">2005-03-22T15:46:43Z</dcterms:created>
  <dcterms:modified xsi:type="dcterms:W3CDTF">2020-01-24T14:46:55Z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SS Version">
    <vt:lpwstr>14.5</vt:lpwstr>
  </property>
</Properties>
</file>