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216" i="7" l="1"/>
  <c r="D87" i="15" l="1"/>
  <c r="D84" i="15"/>
  <c r="D83" i="15"/>
  <c r="D67" i="15"/>
  <c r="D64" i="15"/>
  <c r="D54" i="15"/>
  <c r="D49" i="15"/>
  <c r="D48" i="15"/>
  <c r="G198" i="7" l="1"/>
  <c r="G212" i="7"/>
  <c r="G232" i="7"/>
  <c r="G221" i="7" l="1"/>
  <c r="G220" i="7"/>
  <c r="G219" i="7"/>
  <c r="G218" i="7"/>
  <c r="G217" i="7"/>
  <c r="G215" i="7"/>
  <c r="G203" i="7"/>
  <c r="G202" i="7"/>
  <c r="G201" i="7"/>
  <c r="G200" i="7"/>
  <c r="G199" i="7"/>
  <c r="G197" i="7"/>
  <c r="G190" i="7"/>
  <c r="G189" i="7"/>
  <c r="G184" i="7"/>
  <c r="G183" i="7"/>
  <c r="G165" i="7"/>
  <c r="G151" i="7"/>
  <c r="G150" i="7"/>
  <c r="G147" i="7"/>
  <c r="G124" i="7"/>
  <c r="G110" i="7"/>
  <c r="G109" i="7"/>
  <c r="G68" i="7"/>
  <c r="G59" i="7"/>
  <c r="C126" i="3" l="1"/>
  <c r="C130" i="3"/>
  <c r="AO115" i="23" l="1"/>
  <c r="E47" i="23" l="1"/>
  <c r="E56" i="23" l="1"/>
  <c r="E52" i="23"/>
  <c r="E50" i="23"/>
  <c r="E49" i="23"/>
  <c r="E46" i="23"/>
  <c r="D57" i="23"/>
  <c r="C57" i="23"/>
  <c r="E40" i="3" l="1"/>
  <c r="E64" i="3" s="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D122" i="23" s="1"/>
  <c r="A121" i="23"/>
  <c r="AD121" i="23" s="1"/>
  <c r="A120" i="23"/>
  <c r="AD120" i="23" s="1"/>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D64" i="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E42" i="6" s="1"/>
  <c r="F42" i="6" s="1"/>
  <c r="G40" i="7" s="1"/>
  <c r="B37" i="5"/>
  <c r="E41" i="6" s="1"/>
  <c r="F41" i="6" s="1"/>
  <c r="G39" i="7" s="1"/>
  <c r="B35" i="5"/>
  <c r="E40" i="6" s="1"/>
  <c r="F40" i="6" s="1"/>
  <c r="B34" i="5"/>
  <c r="E39" i="6" s="1"/>
  <c r="F39" i="6" s="1"/>
  <c r="G37" i="7"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9" i="6"/>
  <c r="F19" i="6" s="1"/>
  <c r="G10" i="6"/>
  <c r="B53" i="22"/>
  <c r="D75" i="22"/>
  <c r="E75" i="22"/>
  <c r="E65" i="22"/>
  <c r="E66" i="22" s="1"/>
  <c r="D65" i="22"/>
  <c r="D67" i="22" s="1"/>
  <c r="D59" i="22"/>
  <c r="D62" i="22" s="1"/>
  <c r="B52" i="22"/>
  <c r="E33" i="22"/>
  <c r="E34" i="22" s="1"/>
  <c r="D33" i="22"/>
  <c r="D34" i="22" s="1"/>
  <c r="D26" i="22"/>
  <c r="D38" i="22"/>
  <c r="C38" i="22"/>
  <c r="E15" i="22"/>
  <c r="D15" i="22"/>
  <c r="B46" i="22"/>
  <c r="E26" i="22"/>
  <c r="E59" i="22"/>
  <c r="E60" i="22" s="1"/>
  <c r="E38" i="22"/>
  <c r="F10" i="6"/>
  <c r="E44" i="3" s="1"/>
  <c r="B29" i="5"/>
  <c r="G14" i="5"/>
  <c r="H14" i="5" s="1"/>
  <c r="G251" i="7"/>
  <c r="E15" i="8"/>
  <c r="E36" i="6"/>
  <c r="D36" i="6"/>
  <c r="D43" i="6"/>
  <c r="D26" i="6"/>
  <c r="D17" i="6"/>
  <c r="E17" i="6"/>
  <c r="F32" i="6"/>
  <c r="F35" i="6"/>
  <c r="F34" i="6"/>
  <c r="F33" i="6"/>
  <c r="G35" i="6"/>
  <c r="G34" i="6"/>
  <c r="G33" i="6"/>
  <c r="G32" i="6"/>
  <c r="G20" i="5"/>
  <c r="H20" i="5" s="1"/>
  <c r="G19" i="5"/>
  <c r="H19" i="5" s="1"/>
  <c r="G22" i="5"/>
  <c r="H22" i="5" s="1"/>
  <c r="G23" i="5"/>
  <c r="H23" i="5" s="1"/>
  <c r="E20" i="6"/>
  <c r="F20" i="6" s="1"/>
  <c r="G22" i="7" s="1"/>
  <c r="E21" i="6"/>
  <c r="F21" i="6" s="1"/>
  <c r="G23" i="7" s="1"/>
  <c r="E22" i="6"/>
  <c r="F22" i="6" s="1"/>
  <c r="G24" i="7" s="1"/>
  <c r="E23" i="6"/>
  <c r="F23" i="6" s="1"/>
  <c r="G25" i="7" s="1"/>
  <c r="E24" i="6"/>
  <c r="F24" i="6" s="1"/>
  <c r="G26" i="7" s="1"/>
  <c r="G11" i="6"/>
  <c r="G12" i="6"/>
  <c r="G13" i="6"/>
  <c r="G14" i="6"/>
  <c r="G15" i="6"/>
  <c r="E20" i="12"/>
  <c r="E29" i="12"/>
  <c r="G193" i="7"/>
  <c r="D21" i="8"/>
  <c r="E68" i="3"/>
  <c r="F11" i="6"/>
  <c r="E45" i="3" s="1"/>
  <c r="F12" i="6"/>
  <c r="E46" i="3" s="1"/>
  <c r="F14" i="6"/>
  <c r="E48" i="3" s="1"/>
  <c r="F15" i="6"/>
  <c r="E49" i="3" s="1"/>
  <c r="F13" i="6"/>
  <c r="H13" i="6" s="1"/>
  <c r="G15" i="7" s="1"/>
  <c r="C94" i="12"/>
  <c r="B31" i="5"/>
  <c r="H31" i="5" s="1"/>
  <c r="I31" i="5" s="1"/>
  <c r="B30" i="5"/>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E14" i="8"/>
  <c r="G236" i="7"/>
  <c r="V117" i="23"/>
  <c r="X141" i="23"/>
  <c r="E119" i="15" l="1"/>
  <c r="H30" i="5"/>
  <c r="I30" i="5" s="1"/>
  <c r="H37" i="5"/>
  <c r="I37" i="5" s="1"/>
  <c r="D60" i="22"/>
  <c r="C113" i="3"/>
  <c r="E61" i="22"/>
  <c r="D66" i="22"/>
  <c r="D68" i="22" s="1"/>
  <c r="H35" i="6"/>
  <c r="G33" i="7" s="1"/>
  <c r="E30" i="12"/>
  <c r="H33" i="6"/>
  <c r="G31" i="7" s="1"/>
  <c r="H38" i="5"/>
  <c r="I38" i="5" s="1"/>
  <c r="C121" i="3"/>
  <c r="E137" i="15"/>
  <c r="F117" i="15"/>
  <c r="F102" i="15"/>
  <c r="D61" i="22"/>
  <c r="E47" i="3"/>
  <c r="H34" i="6"/>
  <c r="G32" i="7" s="1"/>
  <c r="F36" i="6"/>
  <c r="D119" i="15"/>
  <c r="C95" i="3"/>
  <c r="H32" i="6"/>
  <c r="D106" i="3"/>
  <c r="C112" i="3"/>
  <c r="E21" i="8"/>
  <c r="G253" i="7"/>
  <c r="E25" i="4" s="1"/>
  <c r="E28" i="4" s="1"/>
  <c r="C111" i="3"/>
  <c r="E74" i="3"/>
  <c r="H14" i="6"/>
  <c r="G16" i="7" s="1"/>
  <c r="H11" i="6"/>
  <c r="G13" i="7" s="1"/>
  <c r="H10" i="6"/>
  <c r="D124" i="15" s="1"/>
  <c r="C144" i="3" s="1"/>
  <c r="F17" i="6"/>
  <c r="E50" i="3" s="1"/>
  <c r="H34" i="5"/>
  <c r="I34" i="5" s="1"/>
  <c r="G30" i="7"/>
  <c r="G38" i="7"/>
  <c r="G42" i="7" s="1"/>
  <c r="F43" i="6"/>
  <c r="G21" i="7"/>
  <c r="G28" i="7" s="1"/>
  <c r="F26" i="6"/>
  <c r="D125" i="15"/>
  <c r="B70" i="6"/>
  <c r="H12" i="6"/>
  <c r="G14" i="7" s="1"/>
  <c r="H15" i="6"/>
  <c r="G17" i="7" s="1"/>
  <c r="E67" i="22"/>
  <c r="E69" i="22" s="1"/>
  <c r="C92" i="3"/>
  <c r="H29" i="5"/>
  <c r="I29" i="5" s="1"/>
  <c r="F57" i="15"/>
  <c r="H35" i="5"/>
  <c r="I35" i="5" s="1"/>
  <c r="E57" i="23"/>
  <c r="E62" i="22"/>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F119" i="15" l="1"/>
  <c r="H36" i="6"/>
  <c r="H44" i="6" s="1"/>
  <c r="D69" i="22"/>
  <c r="D70" i="22"/>
  <c r="G35" i="7"/>
  <c r="E70" i="22"/>
  <c r="C114" i="3"/>
  <c r="D135" i="15"/>
  <c r="D137" i="15" s="1"/>
  <c r="F124" i="15"/>
  <c r="C137" i="3"/>
  <c r="G12" i="7"/>
  <c r="G19" i="7" s="1"/>
  <c r="E68" i="22"/>
  <c r="H17" i="6"/>
  <c r="H27" i="6" s="1"/>
  <c r="F125" i="15"/>
  <c r="C139" i="3"/>
  <c r="C147" i="3"/>
  <c r="D45" i="3"/>
  <c r="F45" i="3" s="1"/>
  <c r="G45" i="3" s="1"/>
  <c r="AO119" i="23"/>
  <c r="AO120" i="23" s="1"/>
  <c r="AO122" i="23" s="1"/>
  <c r="T141" i="23"/>
  <c r="F68" i="3"/>
  <c r="G68" i="3" s="1"/>
  <c r="F44" i="3"/>
  <c r="G44" i="3" s="1"/>
  <c r="D99" i="23"/>
  <c r="F99" i="23"/>
  <c r="E99" i="23"/>
  <c r="D74" i="3"/>
  <c r="F74" i="3" s="1"/>
  <c r="G74" i="3" s="1"/>
  <c r="F102" i="3"/>
  <c r="F106" i="3" s="1"/>
  <c r="G85" i="7"/>
  <c r="G44" i="7" l="1"/>
  <c r="G63" i="7" s="1"/>
  <c r="G141" i="7" s="1"/>
  <c r="E18" i="4" s="1"/>
  <c r="E21" i="4" s="1"/>
  <c r="E23" i="4" s="1"/>
  <c r="D32" i="4" s="1"/>
  <c r="E35" i="4" s="1"/>
  <c r="E38" i="4" s="1"/>
  <c r="F135" i="15"/>
  <c r="F137" i="15" s="1"/>
  <c r="H46" i="6"/>
  <c r="D50" i="3"/>
  <c r="F50" i="3" s="1"/>
  <c r="G50" i="3" s="1"/>
  <c r="C34" i="3" l="1"/>
  <c r="C153" i="3"/>
  <c r="E44" i="4"/>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<sst xmlns="http://schemas.openxmlformats.org/spreadsheetml/2006/main" count="1305" uniqueCount="788">
  <si>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</si>
  <si>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</si>
  <si>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</si>
  <si>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</si>
  <si>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</si>
  <si>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</si>
  <si>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</si>
  <si>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</si>
  <si>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</si>
  <si>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</si>
  <si>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</si>
  <si>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</si>
  <si>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</si>
  <si>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</si>
  <si>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</si>
  <si>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</si>
  <si>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</si>
  <si>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</si>
  <si>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</si>
  <si>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</si>
  <si>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</si>
  <si>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</si>
  <si>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</si>
  <si>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</si>
  <si>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</si>
  <si>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</si>
  <si>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</si>
  <si>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</si>
  <si>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</si>
  <si>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</si>
  <si>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</si>
  <si>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</si>
  <si>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</si>
  <si>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</si>
  <si>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</si>
  <si>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</si>
  <si>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</si>
  <si>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</si>
  <si>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</si>
  <si>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</si>
  <si>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</si>
  <si>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</si>
  <si>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</si>
  <si>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</si>
  <si>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</si>
  <si>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</si>
  <si>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</si>
  <si>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</si>
  <si>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</si>
  <si>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</si>
  <si>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</si>
  <si>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</si>
  <si>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</si>
  <si>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</si>
  <si>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</si>
  <si>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</si>
  <si>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</si>
  <si>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</si>
  <si>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</si>
  <si>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</si>
  <si>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</si>
  <si>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</si>
  <si>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</si>
  <si>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</si>
  <si>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</si>
  <si>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</si>
  <si>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</si>
  <si>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</si>
  <si>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</si>
  <si>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</si>
  <si>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</si>
  <si>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</si>
  <si>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</si>
  <si>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</si>
  <si>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</si>
  <si>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</si>
  <si>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</si>
  <si>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</si>
  <si>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</si>
  <si>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</si>
  <si>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</si>
  <si>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</si>
  <si>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</si>
  <si>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</si>
  <si>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</si>
  <si>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</si>
  <si>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</si>
  <si>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</si>
  <si>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</si>
  <si>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</si>
  <si>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</si>
  <si>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</si>
  <si>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</si>
  <si>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</si>
  <si>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</si>
  <si>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</si>
  <si>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</si>
  <si>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</si>
  <si>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</si>
  <si>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</si>
  <si>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</si>
  <si>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</si>
  <si>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</si>
  <si>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</si>
  <si>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</si>
  <si>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</si>
  <si>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</si>
  <si>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</si>
  <si>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</si>
  <si>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</si>
  <si>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</si>
  <si>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</si>
  <si>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</si>
  <si>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</si>
  <si>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</si>
  <si>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</si>
  <si>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</si>
  <si>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</si>
  <si>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</si>
  <si>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</si>
  <si>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</si>
  <si>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</si>
  <si>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</si>
  <si>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</si>
  <si>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</si>
  <si>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</si>
  <si>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</si>
  <si>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</si>
  <si>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</si>
  <si>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</si>
  <si>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</si>
  <si>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</si>
  <si>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</si>
  <si>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</si>
  <si>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</si>
  <si>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</si>
  <si>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</si>
  <si>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</si>
  <si>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</si>
  <si>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</si>
  <si>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</si>
  <si>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</si>
  <si>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</si>
  <si>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</si>
  <si>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</si>
  <si>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</si>
  <si>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</si>
  <si>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</si>
  <si>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</si>
  <si>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</si>
  <si>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</si>
  <si>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</si>
  <si>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</si>
  <si>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</si>
  <si>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</si>
  <si>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</si>
  <si>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</si>
  <si>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</si>
  <si>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</si>
  <si>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</si>
  <si>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</si>
  <si>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</si>
  <si>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</si>
  <si>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</si>
  <si>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</si>
  <si>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</si>
  <si>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</si>
  <si>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</si>
  <si>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</si>
  <si>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</si>
  <si>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</si>
  <si>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</si>
  <si>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</si>
  <si>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</si>
  <si>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</si>
  <si>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</si>
  <si>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</si>
  <si>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</si>
  <si>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</si>
  <si>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</si>
  <si>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</si>
  <si>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</si>
  <si>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</si>
  <si>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</si>
  <si>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</si>
  <si>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</si>
  <si>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</si>
  <si>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</si>
  <si>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</si>
  <si>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</si>
  <si>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</si>
  <si>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</si>
  <si>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</si>
  <si>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</si>
  <si>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</si>
  <si>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</si>
  <si>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</si>
  <si>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</si>
  <si>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</si>
  <si>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</si>
  <si>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</si>
  <si>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</si>
  <si>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</si>
  <si>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</si>
  <si>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</si>
  <si>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</si>
  <si>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</si>
  <si>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</si>
  <si>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</si>
  <si>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</si>
  <si>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</si>
  <si>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</si>
  <si>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</si>
  <si>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</si>
  <si>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</si>
  <si>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</si>
  <si>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</si>
  <si>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</si>
  <si>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</si>
  <si>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</si>
  <si>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</si>
  <si>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</si>
  <si>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</si>
  <si>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</si>
  <si>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</si>
  <si>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</si>
  <si>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</si>
  <si>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</si>
  <si>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</si>
  <si>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</si>
  <si>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</si>
  <si>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</si>
  <si>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</si>
  <si>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</si>
  <si>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</si>
  <si>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</si>
  <si>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</si>
  <si>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</si>
  <si>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</si>
  <si>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</si>
  <si>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</si>
  <si>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</si>
  <si>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</si>
  <si>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</si>
  <si>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</si>
  <si>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</si>
  <si>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</si>
  <si>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</si>
  <si>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</si>
  <si>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</si>
  <si>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</si>
  <si>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</si>
  <si>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</si>
  <si>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</si>
  <si>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</si>
  <si>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</si>
  <si>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</si>
  <si>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</si>
  <si>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</si>
  <si>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</si>
  <si>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</si>
  <si>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</si>
  <si>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</si>
  <si>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</si>
  <si>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</si>
  <si>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</si>
  <si>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</si>
  <si>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</si>
  <si>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</si>
  <si>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</si>
  <si>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</si>
  <si>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</si>
  <si>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</si>
  <si>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</si>
  <si>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</si>
  <si>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</si>
  <si>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</si>
  <si>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</si>
  <si>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</si>
  <si>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</si>
  <si>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</si>
  <si>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</si>
  <si>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</si>
  <si>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</si>
  <si>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</si>
  <si>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</si>
  <si>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</si>
  <si>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</si>
  <si>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</si>
  <si>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</si>
  <si>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</si>
  <si>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</si>
  <si>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</si>
  <si>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</si>
  <si>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</si>
  <si>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</si>
  <si>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</si>
  <si>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</si>
  <si>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</si>
  <si>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</si>
  <si>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</si>
  <si>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</si>
  <si>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</si>
  <si>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</si>
  <si>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</si>
  <si>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</si>
  <si>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</si>
  <si>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</si>
  <si>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</si>
  <si>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</si>
  <si>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</si>
  <si>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</si>
  <si>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</si>
  <si>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</si>
  <si>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</si>
  <si>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</si>
  <si>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</si>
  <si>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</si>
  <si>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</si>
  <si>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</si>
  <si>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</si>
  <si>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</si>
  <si>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</si>
  <si>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</si>
  <si>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</si>
  <si>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</si>
  <si>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</si>
  <si>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</si>
  <si>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</si>
  <si>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</si>
  <si>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</si>
  <si>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</si>
  <si>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</si>
  <si>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</si>
  <si>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</si>
  <si>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</si>
  <si>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</si>
  <si>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</si>
  <si>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</si>
  <si>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</si>
  <si>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</si>
  <si>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</si>
  <si>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</si>
  <si>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</si>
  <si>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</si>
  <si>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</si>
  <si>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</si>
  <si>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</si>
  <si>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</si>
  <si>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</si>
  <si>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</si>
  <si>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</si>
  <si>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</si>
  <si>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</si>
  <si>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</si>
  <si>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</si>
  <si>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</si>
  <si>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</si>
  <si>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</si>
  <si>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</si>
  <si>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</si>
  <si>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</si>
  <si>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</si>
  <si>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</si>
  <si>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</si>
  <si>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</si>
  <si>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</si>
  <si>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</si>
  <si>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</si>
  <si>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</si>
  <si>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</si>
  <si>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</si>
  <si>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</si>
  <si>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</si>
  <si>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</si>
  <si>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</si>
  <si>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</si>
  <si>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</si>
  <si>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</si>
  <si>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</si>
  <si>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</si>
  <si>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</si>
  <si>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</si>
  <si>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</si>
  <si>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</si>
  <si>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</si>
  <si>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</si>
  <si>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</si>
  <si>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</si>
  <si>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</si>
  <si>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</si>
  <si>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</si>
  <si>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</si>
  <si>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</si>
  <si>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</si>
  <si>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</si>
  <si>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</si>
  <si>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</si>
  <si>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</si>
  <si>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</si>
  <si>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</si>
  <si>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</si>
  <si>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</si>
  <si>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</si>
  <si>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</si>
  <si>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</si>
  <si>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</si>
  <si>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</si>
  <si>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</si>
  <si>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</si>
  <si>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</si>
  <si>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</si>
  <si>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</si>
  <si>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</si>
  <si>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</si>
  <si>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</si>
  <si>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</si>
  <si>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</si>
  <si>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</si>
  <si>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</si>
  <si>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</si>
  <si>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</si>
  <si>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</si>
  <si>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</si>
  <si>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</si>
  <si>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</si>
  <si>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</si>
  <si>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</si>
  <si>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</si>
  <si>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</si>
  <si>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</si>
  <si>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</si>
  <si>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</si>
  <si>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</si>
  <si>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</si>
  <si>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</si>
  <si>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</si>
  <si>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</si>
  <si>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</si>
  <si>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</si>
  <si>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</si>
  <si>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</si>
  <si>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</si>
  <si>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</si>
  <si>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</si>
  <si>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</si>
  <si>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</si>
  <si>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</si>
  <si>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</si>
  <si>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</si>
  <si>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</si>
  <si>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</si>
  <si>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</si>
  <si>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</si>
  <si>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</si>
  <si>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</si>
  <si>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</si>
  <si>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</si>
  <si>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</si>
  <si>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</si>
  <si>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</si>
  <si>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</si>
  <si>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</si>
  <si>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</si>
  <si>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</si>
  <si>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</si>
  <si>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</si>
  <si>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</si>
  <si>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</si>
  <si>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</si>
  <si>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</si>
  <si>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</si>
  <si>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</si>
  <si>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</si>
  <si>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</si>
  <si>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</si>
  <si>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</si>
  <si>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</si>
  <si>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</si>
  <si>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</si>
  <si>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</si>
  <si>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</si>
  <si>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</si>
  <si>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</si>
  <si>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</si>
  <si>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</si>
  <si>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</si>
  <si>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</si>
  <si>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</si>
  <si>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</si>
  <si>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</si>
  <si>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</si>
  <si>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</si>
  <si>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</si>
  <si>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</si>
  <si>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</si>
  <si>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</si>
  <si>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</si>
  <si>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</si>
  <si>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</si>
  <si>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</si>
  <si>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</si>
  <si>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</si>
  <si>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</si>
  <si>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</si>
  <si>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</si>
  <si>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</si>
  <si>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</si>
  <si>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</si>
  <si>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</si>
  <si>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</si>
  <si>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</si>
  <si>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</si>
  <si>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</si>
  <si>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</si>
  <si>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</si>
  <si>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</si>
  <si>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</si>
  <si>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</si>
  <si>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</si>
  <si>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</si>
  <si>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</si>
  <si>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</si>
  <si>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</si>
  <si>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</si>
  <si>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</si>
  <si>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</si>
  <si>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</si>
  <si>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</si>
  <si>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</si>
  <si>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</si>
  <si>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</si>
  <si>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</si>
  <si>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</si>
  <si>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</si>
  <si>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</si>
  <si>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</si>
  <si>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</si>
  <si>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</si>
  <si>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</si>
  <si>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</si>
  <si>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</si>
  <si>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</si>
  <si>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</si>
  <si>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</si>
  <si>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</si>
  <si>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</si>
  <si>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</si>
  <si>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</si>
  <si>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</si>
  <si>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</si>
  <si>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</si>
  <si>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</si>
  <si>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</si>
  <si>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</si>
  <si>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</si>
  <si>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</si>
  <si>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</si>
  <si>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</si>
  <si>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</si>
  <si>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</si>
  <si>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</si>
  <si>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</si>
  <si>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</si>
  <si>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</si>
  <si>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</si>
  <si>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</si>
  <si>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</si>
  <si>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</si>
  <si>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</si>
  <si>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</si>
  <si>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</si>
  <si>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</si>
  <si>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</si>
  <si>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</si>
  <si>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</si>
  <si>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</si>
  <si>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</si>
  <si>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</si>
  <si>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</si>
  <si>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</si>
  <si>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</si>
  <si>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</si>
  <si>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</si>
  <si>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</si>
  <si>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</si>
  <si>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</si>
  <si>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</si>
  <si>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</si>
  <si>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</si>
  <si>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</si>
  <si>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</si>
  <si>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</si>
  <si>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</si>
  <si>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</si>
  <si>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</si>
  <si>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</si>
  <si>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</si>
  <si>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</si>
  <si>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</si>
  <si>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</si>
  <si>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</si>
  <si>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</si>
  <si>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</si>
  <si>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</si>
  <si>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</si>
  <si>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</si>
  <si>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</si>
  <si>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</si>
  <si>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</si>
  <si>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</si>
  <si>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</si>
  <si>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</si>
  <si>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</si>
  <si>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</si>
  <si>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</si>
  <si>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</si>
  <si>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</si>
  <si>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</si>
  <si>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</si>
  <si>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</si>
  <si>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</si>
  <si>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</si>
  <si>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</si>
  <si>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</si>
  <si>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</si>
  <si>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</si>
  <si>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</si>
  <si>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</si>
  <si>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</si>
  <si>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</si>
  <si>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</si>
  <si>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</si>
  <si>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</si>
  <si>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</si>
  <si>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</si>
  <si>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</si>
  <si>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</si>
  <si>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</si>
  <si>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</si>
  <si>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</si>
  <si>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</si>
  <si>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</si>
  <si>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</si>
  <si>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</si>
  <si>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</si>
  <si>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</si>
  <si>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</si>
  <si>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</si>
  <si>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</si>
  <si>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</si>
  <si>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</si>
  <si>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</si>
  <si>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</si>
  <si>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</si>
  <si>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</si>
  <si>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</si>
  <si>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</si>
  <si>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</si>
  <si>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</si>
  <si>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</si>
  <si>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</si>
  <si>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</si>
  <si>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</si>
  <si>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</si>
  <si>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</si>
  <si>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</si>
  <si>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</si>
  <si>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</si>
  <si>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</si>
  <si>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</si>
  <si>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</si>
  <si>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</si>
  <si>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</si>
  <si>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</si>
  <si>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</si>
  <si>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</si>
  <si>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</si>
  <si>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</si>
  <si>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</si>
  <si>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</si>
  <si>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</si>
  <si>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</si>
  <si>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</si>
  <si>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</si>
  <si>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</si>
  <si>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</si>
  <si>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</si>
  <si>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</si>
  <si>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</si>
  <si>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</si>
  <si>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</si>
  <si>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</si>
  <si>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</si>
  <si>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</si>
  <si>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</si>
  <si>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</si>
  <si>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</si>
  <si>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</si>
  <si>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</si>
  <si>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</si>
  <si>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</si>
  <si>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</si>
  <si>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</si>
  <si>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</si>
  <si>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</si>
  <si>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</si>
  <si>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</si>
  <si>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</si>
  <si>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</si>
  <si>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</si>
  <si>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</si>
  <si>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</si>
  <si>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</si>
  <si>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</si>
  <si>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</si>
  <si>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</si>
  <si>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</si>
  <si>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</si>
  <si>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</si>
  <si>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</si>
  <si>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</si>
  <si>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</si>
  <si>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</si>
  <si>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</si>
  <si>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</si>
  <si>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</si>
  <si>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</si>
  <si>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</si>
  <si>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</si>
  <si>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</si>
  <si>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</si>
  <si>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</si>
  <si>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</si>
  <si>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</si>
  <si>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</si>
  <si>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</si>
  <si>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</si>
  <si>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</si>
  <si>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</si>
  <si>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</si>
  <si>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</si>
  <si>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</si>
  <si>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</si>
  <si>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</si>
  <si>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</si>
  <si>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</si>
  <si>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</si>
  <si>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</si>
  <si>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</si>
  <si>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</si>
  <si>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</si>
  <si>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</si>
  <si>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</si>
  <si>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</si>
  <si>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</si>
  <si>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</si>
  <si>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</si>
  <si>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</si>
  <si>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</si>
  <si>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</si>
  <si>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</si>
  <si>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</si>
  <si>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</si>
  <si>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</si>
  <si>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</si>
  <si>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</si>
  <si>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</si>
  <si>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</si>
  <si>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</si>
  <si>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</si>
  <si>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</si>
  <si>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</si>
  <si>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</si>
  <si>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</si>
  <si>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</si>
  <si>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</si>
  <si>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</si>
  <si>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</si>
  <si>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</si>
  <si>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</si>
  <si>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</si>
  <si>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</si>
  <si>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</si>
  <si>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</si>
  <si>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WDSC Operational Funding</t>
  </si>
  <si>
    <t>Marketing/Hospitality/Tuition Reimbursement</t>
  </si>
  <si>
    <t>See attached letter in  J:\Finance\Operating Budgets - current year\2018-19 OPERATING BUDGET\Received from Colleges\Transmittal and Variance Letters. EAN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</si>
</sst>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4">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4"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6" xfId="0" applyNumberFormat="1" applyFont="1" applyBorder="1" applyProtection="1"/>
    <xf numFmtId="37" fontId="107" fillId="0" borderId="306" xfId="0" applyNumberFormat="1" applyFont="1" applyFill="1" applyBorder="1" applyProtection="1"/>
    <xf numFmtId="37" fontId="115" fillId="0" borderId="306" xfId="0" applyNumberFormat="1" applyFont="1" applyBorder="1" applyProtection="1"/>
    <xf numFmtId="168" fontId="137" fillId="75" borderId="307" xfId="0" applyNumberFormat="1" applyFont="1" applyFill="1" applyBorder="1" applyAlignment="1" applyProtection="1">
      <alignment horizontal="right"/>
    </xf>
    <xf numFmtId="5" fontId="137" fillId="75" borderId="307" xfId="0" applyNumberFormat="1" applyFont="1" applyFill="1" applyBorder="1" applyAlignment="1" applyProtection="1">
      <alignment horizontal="right"/>
    </xf>
    <xf numFmtId="37" fontId="107" fillId="24" borderId="308"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0" xfId="0" applyNumberFormat="1" applyFont="1" applyFill="1" applyBorder="1" applyAlignment="1" applyProtection="1">
      <alignment horizontal="right"/>
    </xf>
    <xf numFmtId="37" fontId="107" fillId="24" borderId="311" xfId="0" applyNumberFormat="1" applyFont="1" applyFill="1" applyBorder="1" applyAlignment="1" applyProtection="1">
      <alignment horizontal="right"/>
    </xf>
    <xf numFmtId="37" fontId="107" fillId="0" borderId="312" xfId="0" applyNumberFormat="1" applyFont="1" applyBorder="1" applyProtection="1"/>
    <xf numFmtId="37" fontId="107" fillId="0" borderId="188" xfId="0" applyNumberFormat="1" applyFont="1" applyBorder="1" applyProtection="1"/>
    <xf numFmtId="37" fontId="107" fillId="0" borderId="313" xfId="0" applyNumberFormat="1" applyFont="1" applyBorder="1" applyAlignment="1" applyProtection="1">
      <alignment horizontal="right"/>
    </xf>
    <xf numFmtId="37" fontId="107" fillId="24" borderId="310" xfId="0" applyNumberFormat="1" applyFont="1" applyFill="1" applyBorder="1" applyAlignment="1" applyProtection="1">
      <alignment horizontal="right"/>
    </xf>
    <xf numFmtId="37" fontId="107" fillId="75" borderId="314" xfId="0" applyNumberFormat="1" applyFont="1" applyFill="1" applyBorder="1" applyAlignment="1" applyProtection="1">
      <alignment horizontal="right"/>
    </xf>
    <xf numFmtId="37" fontId="136" fillId="0" borderId="306" xfId="0" applyNumberFormat="1" applyFont="1" applyBorder="1" applyProtection="1"/>
    <xf numFmtId="37" fontId="136" fillId="0" borderId="0" xfId="0" applyNumberFormat="1" applyFont="1" applyBorder="1" applyProtection="1"/>
    <xf numFmtId="37" fontId="107" fillId="24" borderId="306" xfId="0" applyNumberFormat="1" applyFont="1" applyFill="1" applyBorder="1" applyProtection="1"/>
    <xf numFmtId="37" fontId="107" fillId="24" borderId="0" xfId="0" applyNumberFormat="1" applyFont="1" applyFill="1" applyBorder="1" applyProtection="1"/>
    <xf numFmtId="37" fontId="107" fillId="24" borderId="315" xfId="0" applyNumberFormat="1" applyFont="1" applyFill="1" applyBorder="1" applyAlignment="1" applyProtection="1">
      <alignment horizontal="right"/>
    </xf>
    <xf numFmtId="37" fontId="107" fillId="0" borderId="319" xfId="0" applyNumberFormat="1" applyFont="1" applyBorder="1" applyProtection="1"/>
    <xf numFmtId="37" fontId="107" fillId="0" borderId="320" xfId="0" applyNumberFormat="1" applyFont="1" applyBorder="1" applyProtection="1"/>
    <xf numFmtId="37" fontId="107" fillId="0" borderId="321" xfId="0" applyNumberFormat="1" applyFont="1" applyBorder="1" applyAlignment="1" applyProtection="1">
      <alignment horizontal="right"/>
    </xf>
    <xf numFmtId="37" fontId="107" fillId="24" borderId="322"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2" xfId="0" applyNumberFormat="1" applyFont="1" applyFill="1" applyBorder="1" applyAlignment="1" applyProtection="1">
      <alignment horizontal="right"/>
    </xf>
    <xf numFmtId="37" fontId="136" fillId="75" borderId="327" xfId="0" applyNumberFormat="1" applyFont="1" applyFill="1" applyBorder="1" applyAlignment="1" applyProtection="1">
      <alignment horizontal="right"/>
    </xf>
    <xf numFmtId="37" fontId="136" fillId="24" borderId="328" xfId="0" applyNumberFormat="1" applyFont="1" applyFill="1" applyBorder="1" applyAlignment="1" applyProtection="1">
      <alignment horizontal="right"/>
    </xf>
    <xf numFmtId="37" fontId="115" fillId="0" borderId="323"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2" xfId="0" applyNumberFormat="1" applyFont="1" applyBorder="1" applyProtection="1"/>
    <xf numFmtId="0" fontId="107" fillId="0" borderId="188" xfId="0" applyFont="1" applyBorder="1" applyProtection="1"/>
    <xf numFmtId="0" fontId="107" fillId="0" borderId="313"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6" xfId="0" applyFont="1" applyBorder="1" applyProtection="1"/>
    <xf numFmtId="37" fontId="136" fillId="75" borderId="332"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3" xfId="0" applyNumberFormat="1" applyFont="1" applyFill="1" applyBorder="1" applyAlignment="1" applyProtection="1">
      <alignment horizontal="right"/>
    </xf>
    <xf numFmtId="37" fontId="107" fillId="0" borderId="334" xfId="0" applyNumberFormat="1" applyFont="1" applyBorder="1" applyAlignment="1" applyProtection="1">
      <alignment horizontal="right"/>
    </xf>
    <xf numFmtId="37" fontId="136" fillId="75" borderId="335" xfId="0" applyNumberFormat="1" applyFont="1" applyFill="1" applyBorder="1" applyProtection="1"/>
    <xf numFmtId="37" fontId="136" fillId="24" borderId="333" xfId="0" applyNumberFormat="1" applyFont="1" applyFill="1" applyBorder="1" applyProtection="1"/>
    <xf numFmtId="37" fontId="115" fillId="0" borderId="306" xfId="0" applyNumberFormat="1" applyFont="1" applyBorder="1" applyAlignment="1" applyProtection="1">
      <alignment horizontal="fill"/>
    </xf>
    <xf numFmtId="37" fontId="115" fillId="30" borderId="337" xfId="0" applyNumberFormat="1" applyFont="1" applyFill="1" applyBorder="1" applyProtection="1"/>
    <xf numFmtId="37" fontId="107" fillId="30" borderId="338" xfId="0" applyNumberFormat="1" applyFont="1" applyFill="1" applyBorder="1" applyProtection="1"/>
    <xf numFmtId="37" fontId="107" fillId="30" borderId="339" xfId="0" applyNumberFormat="1" applyFont="1" applyFill="1" applyBorder="1" applyAlignment="1" applyProtection="1">
      <alignment horizontal="right"/>
    </xf>
    <xf numFmtId="37" fontId="136" fillId="75" borderId="340" xfId="0" applyNumberFormat="1" applyFont="1" applyFill="1" applyBorder="1" applyProtection="1"/>
    <xf numFmtId="37" fontId="107" fillId="25" borderId="306" xfId="0" applyNumberFormat="1" applyFont="1" applyFill="1" applyBorder="1" applyProtection="1"/>
    <xf numFmtId="37" fontId="170" fillId="33" borderId="336" xfId="0" applyNumberFormat="1" applyFont="1" applyFill="1" applyBorder="1" applyProtection="1">
      <protection locked="0"/>
    </xf>
    <xf numFmtId="5" fontId="115" fillId="75" borderId="336" xfId="0" applyNumberFormat="1" applyFont="1" applyFill="1" applyBorder="1" applyProtection="1"/>
    <xf numFmtId="37" fontId="115" fillId="0" borderId="341" xfId="0" applyNumberFormat="1" applyFont="1" applyBorder="1" applyAlignment="1" applyProtection="1">
      <alignment horizontal="fill"/>
    </xf>
    <xf numFmtId="37" fontId="115" fillId="24" borderId="341" xfId="0" applyNumberFormat="1" applyFont="1" applyFill="1" applyBorder="1" applyAlignment="1" applyProtection="1">
      <alignment horizontal="fill"/>
    </xf>
    <xf numFmtId="37" fontId="107" fillId="75" borderId="340" xfId="0" applyNumberFormat="1" applyFont="1" applyFill="1" applyBorder="1" applyProtection="1"/>
    <xf numFmtId="37" fontId="107" fillId="0" borderId="342" xfId="0" applyNumberFormat="1" applyFont="1" applyFill="1" applyBorder="1" applyProtection="1"/>
    <xf numFmtId="37" fontId="115" fillId="24" borderId="343" xfId="0" applyNumberFormat="1" applyFont="1" applyFill="1" applyBorder="1" applyAlignment="1" applyProtection="1">
      <alignment horizontal="fill"/>
    </xf>
    <xf numFmtId="0" fontId="107" fillId="0" borderId="323"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7" xfId="0" applyNumberFormat="1" applyFont="1" applyFill="1" applyBorder="1" applyProtection="1"/>
    <xf numFmtId="37" fontId="170" fillId="33" borderId="348" xfId="0" applyNumberFormat="1" applyFont="1" applyFill="1" applyBorder="1" applyProtection="1">
      <protection locked="0"/>
    </xf>
    <xf numFmtId="37" fontId="107" fillId="24" borderId="342" xfId="0" applyNumberFormat="1" applyFont="1" applyFill="1" applyBorder="1" applyProtection="1"/>
    <xf numFmtId="5" fontId="115" fillId="75" borderId="209" xfId="0" applyNumberFormat="1" applyFont="1" applyFill="1" applyBorder="1" applyProtection="1"/>
    <xf numFmtId="0" fontId="115" fillId="0" borderId="306" xfId="0" applyFont="1" applyBorder="1" applyProtection="1"/>
    <xf numFmtId="37" fontId="115" fillId="0" borderId="349"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0" xfId="0" applyNumberFormat="1" applyFont="1" applyFill="1" applyBorder="1" applyProtection="1"/>
    <xf numFmtId="37" fontId="115" fillId="0" borderId="352" xfId="0" applyNumberFormat="1" applyFont="1" applyBorder="1" applyProtection="1"/>
    <xf numFmtId="37" fontId="115" fillId="0" borderId="351" xfId="0" applyNumberFormat="1" applyFont="1" applyBorder="1" applyProtection="1"/>
    <xf numFmtId="37" fontId="115" fillId="0" borderId="351" xfId="0" applyNumberFormat="1" applyFont="1" applyBorder="1" applyAlignment="1" applyProtection="1">
      <alignment horizontal="center" wrapText="1"/>
    </xf>
    <xf numFmtId="37" fontId="115" fillId="0" borderId="305" xfId="0" applyNumberFormat="1" applyFont="1" applyBorder="1" applyAlignment="1" applyProtection="1">
      <alignment horizontal="center" wrapText="1"/>
    </xf>
    <xf numFmtId="37" fontId="136" fillId="75" borderId="339"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4" xfId="0" applyNumberFormat="1" applyFont="1" applyFill="1" applyBorder="1" applyProtection="1"/>
    <xf numFmtId="37" fontId="107" fillId="0" borderId="354" xfId="0" applyNumberFormat="1" applyFont="1" applyBorder="1" applyAlignment="1" applyProtection="1">
      <alignment horizontal="right"/>
    </xf>
    <xf numFmtId="5" fontId="137" fillId="75" borderId="350" xfId="0" applyNumberFormat="1" applyFont="1" applyFill="1" applyBorder="1" applyProtection="1"/>
    <xf numFmtId="37" fontId="115" fillId="0" borderId="355" xfId="0" applyNumberFormat="1" applyFont="1" applyBorder="1" applyProtection="1"/>
    <xf numFmtId="37" fontId="107" fillId="0" borderId="356" xfId="0" applyNumberFormat="1" applyFont="1" applyBorder="1" applyProtection="1"/>
    <xf numFmtId="37" fontId="107" fillId="0" borderId="357" xfId="0" applyNumberFormat="1" applyFont="1" applyBorder="1" applyAlignment="1" applyProtection="1">
      <alignment horizontal="right"/>
    </xf>
    <xf numFmtId="5" fontId="115" fillId="75" borderId="357" xfId="0" applyNumberFormat="1" applyFont="1" applyFill="1" applyBorder="1" applyProtection="1"/>
    <xf numFmtId="5" fontId="137" fillId="75" borderId="358"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2" xfId="0" applyNumberFormat="1" applyFont="1" applyFill="1" applyBorder="1" applyProtection="1"/>
    <xf numFmtId="37" fontId="107" fillId="30" borderId="351" xfId="0" applyNumberFormat="1" applyFont="1" applyFill="1" applyBorder="1" applyProtection="1"/>
    <xf numFmtId="37" fontId="107" fillId="30" borderId="353" xfId="0" applyNumberFormat="1" applyFont="1" applyFill="1" applyBorder="1" applyProtection="1"/>
    <xf numFmtId="37" fontId="107" fillId="30" borderId="305"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0" fontId="81" fillId="0" borderId="0" xfId="0" applyFont="1" applyAlignment="1">
      <alignment wrapText="1"/>
    </xf>
    <xf numFmtId="37" fontId="115" fillId="30" borderId="337"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4"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09"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0" xfId="0" applyNumberFormat="1" applyFont="1" applyFill="1" applyBorder="1" applyAlignment="1" applyProtection="1">
      <alignment horizontal="left"/>
    </xf>
    <xf numFmtId="37" fontId="115" fillId="30" borderId="316"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1"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2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9"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0" xfId="0" applyNumberFormat="1" applyFont="1" applyFill="1" applyBorder="1" applyAlignment="1" applyProtection="1">
      <alignment horizont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0" fillId="0" borderId="0" xfId="0"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59" xfId="0" applyFont="1" applyFill="1" applyBorder="1" applyAlignment="1" applyProtection="1">
      <alignment horizontal="center"/>
      <protection locked="0"/>
    </xf>
    <xf numFmtId="0" fontId="175" fillId="32" borderId="260"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60" xfId="0" applyFont="1" applyFill="1" applyBorder="1" applyAlignment="1" applyProtection="1">
      <alignment horizontal="center"/>
      <protection locked="0"/>
    </xf>
    <xf numFmtId="0" fontId="175" fillId="32" borderId="114" xfId="0" applyFont="1" applyFill="1" applyBorder="1" applyAlignment="1" applyProtection="1">
      <alignment horizontal="center"/>
      <protection locked="0"/>
    </xf>
    <xf numFmtId="0" fontId="79" fillId="29" borderId="155" xfId="0" applyFont="1" applyFill="1" applyBorder="1"/>
    <xf numFmtId="0" fontId="79" fillId="34" borderId="155" xfId="0" applyFont="1" applyFill="1" applyBorder="1"/>
    <xf numFmtId="0" fontId="79" fillId="34" borderId="155" xfId="0" applyFont="1" applyFill="1" applyBorder="1" applyAlignment="1">
      <alignment horizontal="center"/>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1" fillId="0" borderId="0" xfId="663" applyFont="1" applyAlignment="1">
      <alignment horizontal="centerContinuous"/>
    </xf>
    <xf numFmtId="0" fontId="133" fillId="0" borderId="115" xfId="0" applyFont="1" applyBorder="1" applyAlignment="1">
      <alignment horizontal="centerContinuous" wrapText="1"/>
    </xf>
    <xf numFmtId="0" fontId="133" fillId="0" borderId="26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85" fillId="27" borderId="120" xfId="663" applyFont="1" applyFill="1" applyBorder="1" applyAlignment="1" applyProtection="1">
      <alignment horizontal="centerContinuous"/>
    </xf>
    <xf numFmtId="9" fontId="79" fillId="27" borderId="116" xfId="663" applyNumberFormat="1" applyFont="1" applyFill="1" applyBorder="1" applyAlignment="1" applyProtection="1">
      <alignment horizontal="centerContinuous"/>
    </xf>
    <xf numFmtId="0" fontId="79" fillId="27" borderId="121" xfId="663" applyFont="1" applyFill="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0</xdr:col>
          <xdr:colOff>4933950</xdr:colOff>
          <xdr:row>39</xdr:row>
          <xdr:rowOff>57150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floridacollegesystem.com/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08" t="s">
        <v>277</v>
      </c>
      <c r="B1" s="1208"/>
      <c r="C1" s="1208"/>
      <c r="D1" s="1208"/>
      <c r="E1" s="1208"/>
    </row>
    <row r="2" spans="1:5" ht="23.25">
      <c r="A2" s="1208" t="s">
        <v>524</v>
      </c>
      <c r="B2" s="1208"/>
      <c r="C2" s="1208"/>
      <c r="D2" s="1208"/>
      <c r="E2" s="1208"/>
    </row>
    <row r="3" spans="1:5" ht="23.25">
      <c r="A3" s="1208" t="s">
        <v>443</v>
      </c>
      <c r="B3" s="1208"/>
      <c r="C3" s="1208"/>
      <c r="D3" s="1208"/>
      <c r="E3" s="1208"/>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09" t="s">
        <v>515</v>
      </c>
      <c r="B10" s="21"/>
      <c r="C10" s="23" t="s">
        <v>507</v>
      </c>
      <c r="D10" s="24"/>
      <c r="E10" s="20" t="s">
        <v>517</v>
      </c>
    </row>
    <row r="11" spans="1:5" s="5" customFormat="1" ht="20.100000000000001" customHeight="1">
      <c r="A11" s="1209"/>
      <c r="B11" s="21"/>
      <c r="C11" s="21"/>
      <c r="D11" s="24"/>
      <c r="E11" s="21"/>
    </row>
    <row r="12" spans="1:5" ht="20.100000000000001" customHeight="1">
      <c r="A12" s="25"/>
      <c r="B12" s="25"/>
      <c r="C12" s="25"/>
      <c r="D12" s="26"/>
      <c r="E12" s="25"/>
    </row>
    <row r="13" spans="1:5" ht="20.100000000000001" customHeight="1">
      <c r="A13" s="1210" t="s">
        <v>519</v>
      </c>
      <c r="B13" s="25"/>
      <c r="C13" s="25"/>
      <c r="D13" s="26"/>
      <c r="E13" s="25"/>
    </row>
    <row r="14" spans="1:5" ht="20.100000000000001" customHeight="1">
      <c r="A14" s="1210"/>
      <c r="B14" s="25"/>
      <c r="C14" s="25"/>
      <c r="D14" s="25"/>
      <c r="E14" s="25"/>
    </row>
    <row r="15" spans="1:5" ht="20.100000000000001" customHeight="1">
      <c r="A15" s="1210"/>
      <c r="B15" s="25"/>
      <c r="C15" s="25"/>
      <c r="D15" s="25"/>
      <c r="E15" s="25"/>
    </row>
    <row r="16" spans="1:5" ht="20.100000000000001" customHeight="1">
      <c r="A16" s="1210"/>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92D050"/>
    <pageSetUpPr fitToPage="1"/>
  </sheetPr>
  <dimension ref="A1:H96"/>
  <sheetViews>
    <sheetView showGridLines="0" zoomScale="60" zoomScaleNormal="60" workbookViewId="0">
      <selection activeCell="I5" sqref="I5"/>
    </sheetView>
  </sheetViews>
  <sheetFormatPr defaultColWidth="9.140625" defaultRowHeight="23.25"/>
  <cols>
    <col min="1" max="1" width="57.42578125" style="645" bestFit="1" customWidth="1"/>
    <col min="2" max="2" width="20.7109375" style="645" customWidth="1"/>
    <col min="3" max="3" width="20.5703125" style="645" customWidth="1"/>
    <col min="4" max="4" width="17.5703125" style="645" customWidth="1"/>
    <col min="5" max="5" width="19.85546875" style="645" customWidth="1"/>
    <col min="6" max="6" width="7.42578125" style="645" customWidth="1"/>
    <col min="7" max="16384" width="9.140625" style="645"/>
  </cols>
  <sheetData>
    <row r="1" spans="1:8" ht="24" customHeight="1">
      <c r="A1" s="655"/>
      <c r="B1" s="655"/>
      <c r="C1" s="655"/>
      <c r="D1" s="655"/>
      <c r="E1" s="656" t="s">
        <v>198</v>
      </c>
      <c r="F1" s="655"/>
    </row>
    <row r="2" spans="1:8" ht="24" customHeight="1">
      <c r="A2" s="655"/>
      <c r="B2" s="655"/>
      <c r="C2" s="655"/>
      <c r="D2" s="655"/>
      <c r="E2" s="657"/>
      <c r="F2" s="655"/>
    </row>
    <row r="3" spans="1:8" ht="24" customHeight="1" thickBot="1">
      <c r="A3" s="1319" t="s">
        <v>15</v>
      </c>
      <c r="B3" s="1300" t="str">
        <f>'CHECK SHEET'!D7</f>
        <v>Daytona State College</v>
      </c>
      <c r="C3" s="1300"/>
      <c r="D3" s="1300"/>
      <c r="E3" s="1300"/>
      <c r="F3" s="659"/>
      <c r="G3" s="651"/>
    </row>
    <row r="4" spans="1:8" ht="24" customHeight="1">
      <c r="A4" s="1296" t="s">
        <v>199</v>
      </c>
      <c r="B4" s="1296"/>
      <c r="C4" s="1296"/>
      <c r="D4" s="1296"/>
      <c r="E4" s="1296"/>
      <c r="F4" s="697"/>
    </row>
    <row r="5" spans="1:8" ht="24" customHeight="1">
      <c r="A5" s="1296" t="s">
        <v>200</v>
      </c>
      <c r="B5" s="1296"/>
      <c r="C5" s="1296"/>
      <c r="D5" s="1296"/>
      <c r="E5" s="1296"/>
      <c r="F5" s="697"/>
    </row>
    <row r="6" spans="1:8" ht="24" customHeight="1">
      <c r="A6" s="1325" t="s">
        <v>736</v>
      </c>
      <c r="B6" s="1325"/>
      <c r="C6" s="1325"/>
      <c r="D6" s="1325"/>
      <c r="E6" s="1325"/>
      <c r="F6" s="698"/>
    </row>
    <row r="7" spans="1:8" ht="20.100000000000001" customHeight="1">
      <c r="A7" s="1323"/>
      <c r="B7" s="1323"/>
      <c r="C7" s="1323"/>
      <c r="D7" s="1324"/>
      <c r="E7" s="1324"/>
      <c r="F7" s="650"/>
    </row>
    <row r="8" spans="1:8" ht="24" customHeight="1" thickBot="1">
      <c r="A8" s="1160" t="s">
        <v>669</v>
      </c>
      <c r="B8" s="1160"/>
      <c r="C8" s="1160"/>
      <c r="D8" s="650"/>
      <c r="E8" s="650"/>
      <c r="F8" s="650"/>
      <c r="H8" s="652"/>
    </row>
    <row r="9" spans="1:8" s="50" customFormat="1" ht="64.150000000000006" customHeight="1" thickBot="1">
      <c r="A9" s="548" t="s">
        <v>201</v>
      </c>
      <c r="B9" s="1122" t="s">
        <v>660</v>
      </c>
      <c r="C9" s="586" t="s">
        <v>661</v>
      </c>
      <c r="D9" s="586" t="s">
        <v>659</v>
      </c>
      <c r="E9" s="693" t="s">
        <v>2</v>
      </c>
      <c r="F9" s="699"/>
      <c r="H9" s="690"/>
    </row>
    <row r="10" spans="1:8" s="50" customFormat="1" ht="19.899999999999999" customHeight="1">
      <c r="A10" s="720" t="s">
        <v>676</v>
      </c>
      <c r="B10" s="858">
        <v>33778381</v>
      </c>
      <c r="C10" s="859">
        <v>3958500</v>
      </c>
      <c r="D10" s="859">
        <v>0</v>
      </c>
      <c r="E10" s="721">
        <f>SUM(B10:D10)</f>
        <v>37736881</v>
      </c>
      <c r="F10" s="691"/>
      <c r="G10" s="690"/>
    </row>
    <row r="11" spans="1:8" s="50" customFormat="1" ht="19.899999999999999" customHeight="1">
      <c r="A11" s="720" t="s">
        <v>202</v>
      </c>
      <c r="B11" s="860">
        <v>0</v>
      </c>
      <c r="C11" s="847">
        <v>0</v>
      </c>
      <c r="D11" s="847">
        <v>0</v>
      </c>
      <c r="E11" s="722">
        <v>0</v>
      </c>
      <c r="F11" s="691"/>
      <c r="G11" s="690"/>
      <c r="H11" s="690"/>
    </row>
    <row r="12" spans="1:8" s="50" customFormat="1" ht="19.899999999999999" customHeight="1" thickBot="1">
      <c r="A12" s="720" t="s">
        <v>203</v>
      </c>
      <c r="B12" s="860">
        <v>276975</v>
      </c>
      <c r="C12" s="847">
        <v>8900</v>
      </c>
      <c r="D12" s="847">
        <v>0</v>
      </c>
      <c r="E12" s="722">
        <f>SUM(B12:D12)</f>
        <v>285875</v>
      </c>
      <c r="F12" s="691"/>
    </row>
    <row r="13" spans="1:8" s="50" customFormat="1" ht="19.899999999999999" customHeight="1" thickBot="1">
      <c r="A13" s="720" t="s">
        <v>209</v>
      </c>
      <c r="B13" s="723"/>
      <c r="C13" s="724"/>
      <c r="D13" s="724"/>
      <c r="E13" s="725"/>
      <c r="F13" s="691"/>
    </row>
    <row r="14" spans="1:8" s="50" customFormat="1" ht="19.899999999999999" customHeight="1">
      <c r="A14" s="720" t="s">
        <v>211</v>
      </c>
      <c r="B14" s="860">
        <v>1008190</v>
      </c>
      <c r="C14" s="861">
        <v>50454</v>
      </c>
      <c r="D14" s="861">
        <v>0</v>
      </c>
      <c r="E14" s="722">
        <f t="shared" ref="E14:E20" si="0">SUM(B14:D14)</f>
        <v>1058644</v>
      </c>
      <c r="F14" s="691"/>
    </row>
    <row r="15" spans="1:8" s="50" customFormat="1" ht="19.899999999999999" customHeight="1">
      <c r="A15" s="720" t="s">
        <v>210</v>
      </c>
      <c r="B15" s="860">
        <v>4906775</v>
      </c>
      <c r="C15" s="847">
        <v>822318</v>
      </c>
      <c r="D15" s="847">
        <v>1168265</v>
      </c>
      <c r="E15" s="722">
        <f>SUM(B15:D15)</f>
        <v>6897358</v>
      </c>
      <c r="F15" s="691"/>
    </row>
    <row r="16" spans="1:8" s="50" customFormat="1" ht="19.899999999999999" customHeight="1">
      <c r="A16" s="720" t="s">
        <v>204</v>
      </c>
      <c r="B16" s="860">
        <v>8162921</v>
      </c>
      <c r="C16" s="847">
        <v>1066363</v>
      </c>
      <c r="D16" s="847">
        <v>0</v>
      </c>
      <c r="E16" s="722">
        <f t="shared" si="0"/>
        <v>9229284</v>
      </c>
      <c r="F16" s="691"/>
    </row>
    <row r="17" spans="1:6" s="50" customFormat="1" ht="19.899999999999999" customHeight="1">
      <c r="A17" s="720" t="s">
        <v>205</v>
      </c>
      <c r="B17" s="860">
        <v>12573403</v>
      </c>
      <c r="C17" s="847">
        <v>5412171</v>
      </c>
      <c r="D17" s="847">
        <v>0</v>
      </c>
      <c r="E17" s="722">
        <f t="shared" si="0"/>
        <v>17985574</v>
      </c>
      <c r="F17" s="691"/>
    </row>
    <row r="18" spans="1:6" s="50" customFormat="1" ht="19.899999999999999" customHeight="1">
      <c r="A18" s="720" t="s">
        <v>206</v>
      </c>
      <c r="B18" s="860">
        <v>5895347</v>
      </c>
      <c r="C18" s="847">
        <v>6213525</v>
      </c>
      <c r="D18" s="847">
        <v>0</v>
      </c>
      <c r="E18" s="722">
        <f t="shared" si="0"/>
        <v>12108872</v>
      </c>
      <c r="F18" s="691"/>
    </row>
    <row r="19" spans="1:6" s="50" customFormat="1" ht="19.899999999999999" customHeight="1">
      <c r="A19" s="720" t="s">
        <v>207</v>
      </c>
      <c r="B19" s="860">
        <v>0</v>
      </c>
      <c r="C19" s="847">
        <v>847500</v>
      </c>
      <c r="D19" s="847">
        <v>0</v>
      </c>
      <c r="E19" s="722">
        <f t="shared" si="0"/>
        <v>847500</v>
      </c>
      <c r="F19" s="691"/>
    </row>
    <row r="20" spans="1:6" s="50" customFormat="1" ht="19.899999999999999" customHeight="1" thickBot="1">
      <c r="A20" s="720" t="s">
        <v>208</v>
      </c>
      <c r="B20" s="860">
        <v>-2500000</v>
      </c>
      <c r="C20" s="848">
        <v>675000</v>
      </c>
      <c r="D20" s="848">
        <v>0</v>
      </c>
      <c r="E20" s="722">
        <f t="shared" si="0"/>
        <v>-1825000</v>
      </c>
      <c r="F20" s="691"/>
    </row>
    <row r="21" spans="1:6" s="50" customFormat="1" ht="24" customHeight="1" thickBot="1">
      <c r="A21" s="561" t="s">
        <v>2</v>
      </c>
      <c r="B21" s="692">
        <f>SUM(B10:B20)</f>
        <v>64101992</v>
      </c>
      <c r="C21" s="695">
        <f>SUM(C10:C20)</f>
        <v>19054731</v>
      </c>
      <c r="D21" s="695">
        <f>SUM(D10:D20)</f>
        <v>1168265</v>
      </c>
      <c r="E21" s="694">
        <f>SUM(E10:E20)</f>
        <v>84324988</v>
      </c>
      <c r="F21" s="691"/>
    </row>
    <row r="22" spans="1:6" ht="24" customHeight="1">
      <c r="A22" s="650"/>
      <c r="B22" s="654"/>
      <c r="C22" s="650"/>
      <c r="D22" s="650"/>
      <c r="E22" s="650"/>
      <c r="F22" s="653"/>
    </row>
    <row r="23" spans="1:6" ht="24" customHeight="1">
      <c r="A23" s="650"/>
      <c r="B23" s="650"/>
      <c r="C23" s="650"/>
      <c r="D23" s="650"/>
      <c r="E23" s="650"/>
      <c r="F23" s="653"/>
    </row>
    <row r="24" spans="1:6">
      <c r="A24" s="650"/>
      <c r="B24" s="650"/>
      <c r="C24" s="650"/>
      <c r="D24" s="650"/>
      <c r="E24" s="650"/>
      <c r="F24" s="653"/>
    </row>
    <row r="25" spans="1:6">
      <c r="A25" s="650"/>
      <c r="B25" s="650"/>
      <c r="C25" s="650"/>
      <c r="D25" s="650"/>
      <c r="E25" s="650"/>
      <c r="F25" s="653"/>
    </row>
    <row r="26" spans="1:6">
      <c r="A26" s="650"/>
      <c r="B26" s="650"/>
      <c r="C26" s="650"/>
      <c r="D26" s="650"/>
      <c r="E26" s="650"/>
      <c r="F26" s="650"/>
    </row>
    <row r="27" spans="1:6">
      <c r="A27" s="650"/>
      <c r="B27" s="650"/>
      <c r="C27" s="650"/>
      <c r="D27" s="650"/>
      <c r="E27" s="650"/>
      <c r="F27" s="650"/>
    </row>
    <row r="28" spans="1:6">
      <c r="A28" s="650"/>
      <c r="B28" s="650"/>
      <c r="C28" s="650"/>
      <c r="D28" s="650"/>
      <c r="E28" s="650"/>
      <c r="F28" s="650"/>
    </row>
    <row r="29" spans="1:6">
      <c r="A29" s="650"/>
      <c r="B29" s="650"/>
      <c r="C29" s="650"/>
      <c r="D29" s="650"/>
      <c r="E29" s="650"/>
      <c r="F29" s="650"/>
    </row>
    <row r="30" spans="1:6">
      <c r="A30" s="650"/>
      <c r="B30" s="650"/>
      <c r="C30" s="650"/>
      <c r="D30" s="650"/>
      <c r="E30" s="650"/>
      <c r="F30" s="650"/>
    </row>
    <row r="31" spans="1:6">
      <c r="A31" s="650"/>
      <c r="B31" s="650"/>
      <c r="C31" s="650"/>
      <c r="D31" s="650"/>
      <c r="E31" s="650"/>
      <c r="F31" s="650"/>
    </row>
    <row r="32" spans="1:6">
      <c r="A32" s="650"/>
      <c r="B32" s="650"/>
      <c r="C32" s="650"/>
      <c r="D32" s="650"/>
      <c r="E32" s="650"/>
      <c r="F32" s="650"/>
    </row>
    <row r="96" spans="3:4">
      <c r="C96" s="645">
        <f>SUM(C91:C95)</f>
        <v>0</v>
      </c>
      <c r="D96" s="645">
        <f>SUM(D91:D95)</f>
        <v>0</v>
      </c>
    </row>
  </sheetData>
  <sheetProtection algorithmName="SHA-512" hashValue="0MPW5TY3gSzWsvbQJmwKIxwnooXrilaNnJ1h6G2J3vamqghT+dw/MavdUs9HGPxBDBZesEdgzT6Dgmd7CN8o+g==" saltValue="8NXUYbb1VPRllxhL9B7MFA=="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3"/>
  <sheetViews>
    <sheetView showGridLines="0" zoomScale="70" zoomScaleNormal="70" workbookViewId="0"/>
  </sheetViews>
  <sheetFormatPr defaultRowHeight="12.75"/>
  <cols>
    <col min="1" max="1" width="78.7109375" customWidth="1"/>
  </cols>
  <sheetData>
    <row r="1" spans="1:7" ht="25.9" customHeight="1">
      <c r="A1" s="968" t="s">
        <v>662</v>
      </c>
      <c r="B1" s="967"/>
      <c r="C1" s="967"/>
      <c r="D1" s="967"/>
      <c r="E1" s="967"/>
      <c r="F1" s="967"/>
      <c r="G1" s="967"/>
    </row>
    <row r="2" spans="1:7" ht="26.25">
      <c r="A2" s="945" t="s">
        <v>663</v>
      </c>
      <c r="B2" s="967"/>
    </row>
    <row r="3" spans="1:7" ht="25.9" customHeight="1">
      <c r="A3" s="944" t="s">
        <v>779</v>
      </c>
      <c r="B3" s="969"/>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0</xdr:col>
                <xdr:colOff>4933950</xdr:colOff>
                <xdr:row>39</xdr:row>
                <xdr:rowOff>57150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HP1202"/>
  <sheetViews>
    <sheetView showGridLines="0" zoomScale="60" zoomScaleNormal="60" zoomScaleSheetLayoutView="50" workbookViewId="0">
      <selection activeCell="B144" sqref="B144"/>
    </sheetView>
  </sheetViews>
  <sheetFormatPr defaultColWidth="12.42578125" defaultRowHeight="15.75"/>
  <cols>
    <col min="1" max="1" width="26.42578125" style="379" customWidth="1"/>
    <col min="2" max="2" width="136.7109375" style="379" customWidth="1"/>
    <col min="3" max="3" width="21.42578125" style="379" customWidth="1"/>
    <col min="4" max="4" width="30.7109375" style="452" customWidth="1"/>
    <col min="5" max="5" width="27.28515625" style="452" customWidth="1"/>
    <col min="6" max="6" width="33.7109375" style="452" customWidth="1"/>
    <col min="7" max="7" width="3.140625" style="379" customWidth="1"/>
    <col min="8" max="16384" width="12.42578125" style="379"/>
  </cols>
  <sheetData>
    <row r="1" spans="1:224" ht="30" customHeight="1" thickBot="1">
      <c r="A1" s="1296" t="s">
        <v>15</v>
      </c>
      <c r="B1" s="1326" t="str">
        <f>'CHECK SHEET'!D7</f>
        <v>Daytona State College</v>
      </c>
      <c r="C1" s="1326"/>
      <c r="D1" s="1326"/>
      <c r="E1" s="1326"/>
      <c r="F1" s="1182"/>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327" t="s">
        <v>512</v>
      </c>
      <c r="B2" s="1327"/>
      <c r="C2" s="1327"/>
      <c r="D2" s="1327"/>
      <c r="E2" s="1327"/>
      <c r="F2" s="1181"/>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328" t="s">
        <v>570</v>
      </c>
      <c r="B3" s="1328"/>
      <c r="C3" s="1328"/>
      <c r="D3" s="1328"/>
      <c r="E3" s="1328"/>
      <c r="F3" s="1183"/>
    </row>
    <row r="4" spans="1:224" ht="30" customHeight="1">
      <c r="A4" s="1327" t="s">
        <v>736</v>
      </c>
      <c r="B4" s="1327"/>
      <c r="C4" s="1327"/>
      <c r="D4" s="1327"/>
      <c r="E4" s="1327"/>
      <c r="F4" s="1181"/>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181"/>
      <c r="B5" s="1181"/>
      <c r="C5" s="1181"/>
      <c r="D5" s="1181"/>
      <c r="E5" s="1181"/>
      <c r="F5" s="1181"/>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79" t="s">
        <v>669</v>
      </c>
      <c r="B7" s="1180"/>
      <c r="C7" s="1171" t="s">
        <v>731</v>
      </c>
      <c r="D7" s="1172"/>
      <c r="E7" s="1172"/>
      <c r="F7" s="1173"/>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329" t="s">
        <v>509</v>
      </c>
      <c r="B8" s="1330"/>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69" t="s">
        <v>103</v>
      </c>
      <c r="B9" s="1176"/>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2">
        <v>0</v>
      </c>
      <c r="E10" s="862">
        <v>0</v>
      </c>
      <c r="F10" s="405">
        <f t="shared" ref="F10:F80" si="0">+D10+E10</f>
        <v>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3">
        <v>0</v>
      </c>
      <c r="E11" s="863">
        <v>0</v>
      </c>
      <c r="F11" s="413">
        <f t="shared" si="0"/>
        <v>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3">
        <v>0</v>
      </c>
      <c r="E12" s="863">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3">
        <v>0</v>
      </c>
      <c r="E13" s="863">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3">
        <v>0</v>
      </c>
      <c r="E14" s="863">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3">
        <v>1929220</v>
      </c>
      <c r="E15" s="863">
        <v>0</v>
      </c>
      <c r="F15" s="413">
        <f t="shared" si="0"/>
        <v>1929220</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3">
        <v>0</v>
      </c>
      <c r="E16" s="863">
        <v>0</v>
      </c>
      <c r="F16" s="413">
        <f t="shared" si="0"/>
        <v>0</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3">
        <v>0</v>
      </c>
      <c r="E17" s="863">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3">
        <v>0</v>
      </c>
      <c r="E18" s="863">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3">
        <v>0</v>
      </c>
      <c r="E19" s="863">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3">
        <v>0</v>
      </c>
      <c r="E20" s="863">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3">
        <v>0</v>
      </c>
      <c r="E21" s="863">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3">
        <v>0</v>
      </c>
      <c r="E22" s="863">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3">
        <v>0</v>
      </c>
      <c r="E23" s="863">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3">
        <v>0</v>
      </c>
      <c r="E24" s="863">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3">
        <v>87500</v>
      </c>
      <c r="E25" s="863">
        <v>0</v>
      </c>
      <c r="F25" s="413">
        <f t="shared" si="0"/>
        <v>87500</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3">
        <v>0</v>
      </c>
      <c r="E26" s="863">
        <v>0</v>
      </c>
      <c r="F26" s="413">
        <f t="shared" si="0"/>
        <v>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3">
        <v>0</v>
      </c>
      <c r="E27" s="863">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3">
        <v>0</v>
      </c>
      <c r="E28" s="863">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3">
        <v>0</v>
      </c>
      <c r="E29" s="863">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3">
        <v>81600</v>
      </c>
      <c r="E30" s="863">
        <v>0</v>
      </c>
      <c r="F30" s="413">
        <f t="shared" si="0"/>
        <v>81600</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3">
        <v>0</v>
      </c>
      <c r="E31" s="863">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3">
        <v>0</v>
      </c>
      <c r="E32" s="863">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3">
        <v>0</v>
      </c>
      <c r="E33" s="863">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3">
        <v>0</v>
      </c>
      <c r="E34" s="863">
        <v>0</v>
      </c>
      <c r="F34" s="413">
        <f t="shared" si="0"/>
        <v>0</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3">
        <v>0</v>
      </c>
      <c r="E35" s="863">
        <v>0</v>
      </c>
      <c r="F35" s="413">
        <f>+D35+E35</f>
        <v>0</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3">
        <v>0</v>
      </c>
      <c r="E36" s="863">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3">
        <v>0</v>
      </c>
      <c r="E37" s="863">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3">
        <v>0</v>
      </c>
      <c r="E38" s="863">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3">
        <v>0</v>
      </c>
      <c r="E39" s="863">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3">
        <v>0</v>
      </c>
      <c r="E40" s="863">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3">
        <v>0</v>
      </c>
      <c r="E41" s="863">
        <v>0</v>
      </c>
      <c r="F41" s="413">
        <f t="shared" si="0"/>
        <v>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3">
        <v>2430</v>
      </c>
      <c r="E42" s="863">
        <v>0</v>
      </c>
      <c r="F42" s="413">
        <f t="shared" si="0"/>
        <v>2430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3">
        <v>0</v>
      </c>
      <c r="E43" s="863">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3">
        <v>0</v>
      </c>
      <c r="E44" s="863">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3">
        <v>0</v>
      </c>
      <c r="E45" s="863">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3">
        <v>0</v>
      </c>
      <c r="E46" s="863">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3">
        <v>0</v>
      </c>
      <c r="E47" s="863">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3">
        <f>30427+130098</f>
        <v>160525</v>
      </c>
      <c r="E48" s="863">
        <v>0</v>
      </c>
      <c r="F48" s="413">
        <f t="shared" si="0"/>
        <v>160525</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3">
        <f>90728+34256+14058+41606</f>
        <v>180648</v>
      </c>
      <c r="E49" s="863">
        <v>0</v>
      </c>
      <c r="F49" s="413">
        <f t="shared" si="0"/>
        <v>180648</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3">
        <v>0</v>
      </c>
      <c r="E50" s="863">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3">
        <v>0</v>
      </c>
      <c r="E51" s="863">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3">
        <v>0</v>
      </c>
      <c r="E52" s="863">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3">
        <v>0</v>
      </c>
      <c r="E53" s="863">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3">
        <f>217750+10072+4618</f>
        <v>232440</v>
      </c>
      <c r="E54" s="863">
        <v>0</v>
      </c>
      <c r="F54" s="413">
        <f t="shared" si="0"/>
        <v>232440</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3">
        <v>4020</v>
      </c>
      <c r="E55" s="863">
        <v>0</v>
      </c>
      <c r="F55" s="413">
        <f t="shared" si="0"/>
        <v>4020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3">
        <v>0</v>
      </c>
      <c r="E56" s="864">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2678383</v>
      </c>
      <c r="E57" s="468">
        <f>SUM(E10:E56)</f>
        <v>0</v>
      </c>
      <c r="F57" s="468">
        <f t="shared" si="0"/>
        <v>2678383</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71" t="str">
        <f>C7</f>
        <v>2018-19</v>
      </c>
      <c r="D61" s="1172"/>
      <c r="E61" s="1172"/>
      <c r="F61" s="1173"/>
      <c r="G61" s="406"/>
      <c r="H61" s="407"/>
      <c r="I61" s="407"/>
      <c r="J61" s="407"/>
      <c r="K61" s="407"/>
      <c r="L61" s="407"/>
      <c r="M61" s="407"/>
      <c r="N61" s="407"/>
      <c r="O61" s="407"/>
      <c r="P61" s="407"/>
      <c r="Q61" s="407"/>
      <c r="R61" s="408"/>
      <c r="S61" s="408"/>
      <c r="T61" s="408"/>
      <c r="U61" s="408"/>
    </row>
    <row r="62" spans="1:21" s="409" customFormat="1" ht="111.6" customHeight="1" thickBot="1">
      <c r="A62" s="1329" t="s">
        <v>509</v>
      </c>
      <c r="B62" s="1330"/>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77" t="s">
        <v>12</v>
      </c>
      <c r="B63" s="1178"/>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2">
        <f>2320+10149+2600</f>
        <v>15069</v>
      </c>
      <c r="E64" s="862">
        <v>0</v>
      </c>
      <c r="F64" s="405">
        <f t="shared" si="0"/>
        <v>15069</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3">
        <v>0</v>
      </c>
      <c r="E65" s="865">
        <v>0</v>
      </c>
      <c r="F65" s="432">
        <f t="shared" si="0"/>
        <v>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3">
        <v>0</v>
      </c>
      <c r="E66" s="865">
        <v>0</v>
      </c>
      <c r="F66" s="432">
        <f t="shared" si="0"/>
        <v>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3">
        <f>290+1800</f>
        <v>2090</v>
      </c>
      <c r="E67" s="865">
        <v>0</v>
      </c>
      <c r="F67" s="432">
        <f t="shared" si="0"/>
        <v>2090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3">
        <v>0</v>
      </c>
      <c r="E68" s="865">
        <v>0</v>
      </c>
      <c r="F68" s="432">
        <f t="shared" si="0"/>
        <v>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3">
        <v>0</v>
      </c>
      <c r="E69" s="865">
        <v>0</v>
      </c>
      <c r="F69" s="432">
        <f t="shared" si="0"/>
        <v>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3">
        <v>0</v>
      </c>
      <c r="E70" s="865">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3">
        <v>0</v>
      </c>
      <c r="E71" s="865">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3">
        <v>0</v>
      </c>
      <c r="E72" s="865">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3">
        <v>0</v>
      </c>
      <c r="E73" s="865">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3">
        <v>0</v>
      </c>
      <c r="E74" s="865">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3">
        <v>0</v>
      </c>
      <c r="E75" s="865">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3">
        <v>0</v>
      </c>
      <c r="E76" s="865">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3">
        <v>0</v>
      </c>
      <c r="E77" s="865">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3">
        <v>0</v>
      </c>
      <c r="E78" s="865">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3">
        <v>0</v>
      </c>
      <c r="E79" s="865">
        <v>0</v>
      </c>
      <c r="F79" s="432">
        <f t="shared" si="0"/>
        <v>0</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3">
        <v>0</v>
      </c>
      <c r="E80" s="865">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3">
        <v>0</v>
      </c>
      <c r="E81" s="865">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3">
        <v>14945</v>
      </c>
      <c r="E82" s="865">
        <v>0</v>
      </c>
      <c r="F82" s="432">
        <f t="shared" si="1"/>
        <v>14945</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3">
        <f>22797+2990</f>
        <v>25787</v>
      </c>
      <c r="E83" s="865">
        <v>0</v>
      </c>
      <c r="F83" s="432">
        <f t="shared" si="1"/>
        <v>25787</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3">
        <f>950+2000</f>
        <v>2950</v>
      </c>
      <c r="E84" s="865">
        <v>0</v>
      </c>
      <c r="F84" s="432">
        <f t="shared" si="1"/>
        <v>2950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3">
        <v>0</v>
      </c>
      <c r="E85" s="865">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3">
        <v>0</v>
      </c>
      <c r="E86" s="865">
        <v>0</v>
      </c>
      <c r="F86" s="432">
        <f t="shared" si="1"/>
        <v>0</v>
      </c>
      <c r="G86" s="406"/>
      <c r="H86" s="406"/>
      <c r="I86" s="406"/>
      <c r="J86" s="406"/>
      <c r="K86" s="406"/>
      <c r="L86" s="406"/>
      <c r="M86" s="406"/>
      <c r="N86" s="406"/>
      <c r="O86" s="406"/>
      <c r="P86" s="406"/>
      <c r="Q86" s="406"/>
    </row>
    <row r="87" spans="1:21" s="409" customFormat="1" ht="30" customHeight="1">
      <c r="A87" s="429" t="s">
        <v>357</v>
      </c>
      <c r="B87" s="430"/>
      <c r="C87" s="431" t="s">
        <v>168</v>
      </c>
      <c r="D87" s="863">
        <f>360+5000</f>
        <v>5360</v>
      </c>
      <c r="E87" s="865">
        <v>0</v>
      </c>
      <c r="F87" s="432">
        <f t="shared" ref="F87:F92" si="2">+D87+E87</f>
        <v>5360</v>
      </c>
      <c r="G87" s="406"/>
      <c r="H87" s="406"/>
      <c r="I87" s="406"/>
      <c r="J87" s="406"/>
      <c r="K87" s="406"/>
      <c r="L87" s="406"/>
      <c r="M87" s="406"/>
      <c r="N87" s="406"/>
      <c r="O87" s="406"/>
      <c r="P87" s="406"/>
      <c r="Q87" s="406"/>
    </row>
    <row r="88" spans="1:21" s="409" customFormat="1" ht="30" customHeight="1">
      <c r="A88" s="429" t="s">
        <v>358</v>
      </c>
      <c r="B88" s="430"/>
      <c r="C88" s="431" t="s">
        <v>169</v>
      </c>
      <c r="D88" s="863">
        <v>0</v>
      </c>
      <c r="E88" s="865">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3">
        <v>0</v>
      </c>
      <c r="E89" s="865">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3">
        <v>0</v>
      </c>
      <c r="E90" s="865">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3">
        <v>0</v>
      </c>
      <c r="E91" s="865">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3">
        <v>0</v>
      </c>
      <c r="E92" s="865">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3">
        <v>0</v>
      </c>
      <c r="E93" s="865">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3">
        <v>0</v>
      </c>
      <c r="E94" s="865">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3">
        <v>0</v>
      </c>
      <c r="E95" s="865">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3">
        <v>0</v>
      </c>
      <c r="E96" s="865">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3">
        <v>0</v>
      </c>
      <c r="E97" s="865">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3">
        <v>0</v>
      </c>
      <c r="E98" s="865">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3">
        <v>0</v>
      </c>
      <c r="E99" s="865">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3">
        <v>0</v>
      </c>
      <c r="E100" s="865">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3">
        <v>0</v>
      </c>
      <c r="E101" s="865">
        <v>0</v>
      </c>
      <c r="F101" s="436">
        <f t="shared" si="1"/>
        <v>0</v>
      </c>
      <c r="G101" s="406"/>
      <c r="H101" s="406"/>
      <c r="I101" s="406"/>
      <c r="J101" s="406"/>
      <c r="K101" s="406"/>
      <c r="L101" s="406"/>
      <c r="M101" s="406"/>
      <c r="N101" s="406"/>
      <c r="O101" s="406"/>
      <c r="P101" s="406"/>
      <c r="Q101" s="406"/>
    </row>
    <row r="102" spans="1:17" s="409" customFormat="1" ht="30" customHeight="1" thickBot="1">
      <c r="A102" s="1174" t="s">
        <v>179</v>
      </c>
      <c r="B102" s="1175"/>
      <c r="C102" s="471"/>
      <c r="D102" s="469">
        <f>SUM(D64:D101)</f>
        <v>66201</v>
      </c>
      <c r="E102" s="469">
        <f>SUM(E64:E101)</f>
        <v>0</v>
      </c>
      <c r="F102" s="469">
        <f t="shared" si="1"/>
        <v>66201</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71" t="str">
        <f>C7</f>
        <v>2018-19</v>
      </c>
      <c r="D105" s="1172"/>
      <c r="E105" s="1172"/>
      <c r="F105" s="1173"/>
      <c r="G105" s="406"/>
      <c r="H105" s="406"/>
      <c r="I105" s="406"/>
      <c r="J105" s="406"/>
      <c r="K105" s="406"/>
      <c r="L105" s="406"/>
      <c r="M105" s="406"/>
      <c r="N105" s="406"/>
      <c r="O105" s="406"/>
      <c r="P105" s="406"/>
      <c r="Q105" s="406"/>
    </row>
    <row r="106" spans="1:17" s="409" customFormat="1" ht="111.6" customHeight="1" thickBot="1">
      <c r="A106" s="1331" t="s">
        <v>13</v>
      </c>
      <c r="B106" s="1332"/>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2">
        <v>0</v>
      </c>
      <c r="E107" s="862">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3">
        <v>0</v>
      </c>
      <c r="E108" s="863">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3">
        <v>0</v>
      </c>
      <c r="E109" s="863">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3">
        <v>0</v>
      </c>
      <c r="E110" s="863">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3">
        <v>0</v>
      </c>
      <c r="E111" s="863">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3">
        <v>0</v>
      </c>
      <c r="E112" s="863">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3">
        <v>0</v>
      </c>
      <c r="E113" s="863">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3">
        <v>0</v>
      </c>
      <c r="E114" s="863">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3">
        <v>0</v>
      </c>
      <c r="E115" s="863">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4">
        <v>0</v>
      </c>
      <c r="E116" s="864">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0</v>
      </c>
      <c r="E117" s="474">
        <f>SUM(E107:E116)</f>
        <v>0</v>
      </c>
      <c r="F117" s="474">
        <f>SUM(D117:E117)</f>
        <v>0</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74" t="s">
        <v>235</v>
      </c>
      <c r="B119" s="1175"/>
      <c r="C119" s="456"/>
      <c r="D119" s="469">
        <f>+D57+D102+D117</f>
        <v>2744584</v>
      </c>
      <c r="E119" s="469">
        <f>+E57+E102+E117</f>
        <v>0</v>
      </c>
      <c r="F119" s="469">
        <f>SUM(D119:E119)</f>
        <v>2744584</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89" customFormat="1" ht="30" customHeight="1" thickBot="1">
      <c r="A121" s="35"/>
      <c r="B121" s="35"/>
      <c r="C121" s="35"/>
      <c r="D121" s="35"/>
      <c r="E121" s="35"/>
      <c r="F121" s="35"/>
    </row>
    <row r="122" spans="1:17" s="409" customFormat="1" ht="116.45" customHeight="1" thickBot="1">
      <c r="A122" s="1333" t="s">
        <v>506</v>
      </c>
      <c r="B122" s="1334"/>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2">
        <v>0</v>
      </c>
      <c r="E123" s="862">
        <v>0</v>
      </c>
      <c r="F123" s="867">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6">
        <f>'EXHIBIT C'!H10</f>
        <v>2401685</v>
      </c>
      <c r="E124" s="863">
        <v>0</v>
      </c>
      <c r="F124" s="413">
        <f t="shared" ref="F124:F134" si="3">+D124+E124</f>
        <v>2401685</v>
      </c>
      <c r="G124" s="462"/>
      <c r="H124" s="462"/>
      <c r="I124" s="462"/>
      <c r="J124" s="462"/>
      <c r="K124" s="462"/>
      <c r="L124" s="462"/>
      <c r="M124" s="462"/>
      <c r="N124" s="462"/>
      <c r="O124" s="462"/>
      <c r="P124" s="462"/>
      <c r="Q124" s="462"/>
    </row>
    <row r="125" spans="1:17" s="463" customFormat="1" ht="30" customHeight="1">
      <c r="A125" s="410" t="s">
        <v>573</v>
      </c>
      <c r="B125" s="464"/>
      <c r="C125" s="465"/>
      <c r="D125" s="866">
        <f>'EXHIBIT C'!F19</f>
        <v>233906</v>
      </c>
      <c r="E125" s="863">
        <v>0</v>
      </c>
      <c r="F125" s="413">
        <f t="shared" si="3"/>
        <v>233906</v>
      </c>
      <c r="G125" s="462"/>
      <c r="H125" s="462"/>
      <c r="I125" s="462"/>
      <c r="J125" s="462"/>
      <c r="K125" s="462"/>
      <c r="L125" s="462"/>
      <c r="M125" s="462"/>
      <c r="N125" s="462"/>
      <c r="O125" s="462"/>
      <c r="P125" s="462"/>
      <c r="Q125" s="462"/>
    </row>
    <row r="126" spans="1:17" s="463" customFormat="1" ht="30" customHeight="1">
      <c r="A126" s="410" t="s">
        <v>270</v>
      </c>
      <c r="B126" s="464"/>
      <c r="C126" s="465"/>
      <c r="D126" s="863">
        <v>0</v>
      </c>
      <c r="E126" s="863">
        <v>0</v>
      </c>
      <c r="F126" s="413">
        <f t="shared" si="3"/>
        <v>0</v>
      </c>
      <c r="G126" s="462"/>
      <c r="H126" s="462"/>
      <c r="I126" s="462"/>
      <c r="J126" s="462"/>
      <c r="K126" s="462"/>
      <c r="L126" s="462"/>
      <c r="M126" s="462"/>
      <c r="N126" s="462"/>
      <c r="O126" s="462"/>
      <c r="P126" s="462"/>
      <c r="Q126" s="462"/>
    </row>
    <row r="127" spans="1:17" s="463" customFormat="1" ht="30" customHeight="1">
      <c r="A127" s="410" t="s">
        <v>271</v>
      </c>
      <c r="B127" s="464"/>
      <c r="C127" s="465"/>
      <c r="D127" s="863">
        <v>0</v>
      </c>
      <c r="E127" s="863">
        <v>0</v>
      </c>
      <c r="F127" s="413">
        <f t="shared" si="3"/>
        <v>0</v>
      </c>
      <c r="G127" s="462"/>
      <c r="H127" s="462"/>
      <c r="I127" s="462"/>
      <c r="J127" s="462"/>
      <c r="K127" s="462"/>
      <c r="L127" s="462"/>
      <c r="M127" s="462"/>
      <c r="N127" s="462"/>
      <c r="O127" s="462"/>
      <c r="P127" s="462"/>
      <c r="Q127" s="462"/>
    </row>
    <row r="128" spans="1:17" s="463" customFormat="1" ht="30" customHeight="1">
      <c r="A128" s="875" t="s">
        <v>755</v>
      </c>
      <c r="B128" s="464"/>
      <c r="C128" s="465"/>
      <c r="D128" s="863">
        <v>0</v>
      </c>
      <c r="E128" s="863">
        <v>0</v>
      </c>
      <c r="F128" s="413">
        <f t="shared" si="3"/>
        <v>0</v>
      </c>
      <c r="G128" s="462"/>
      <c r="H128" s="462"/>
      <c r="I128" s="462"/>
      <c r="J128" s="462"/>
      <c r="K128" s="462"/>
      <c r="L128" s="462"/>
      <c r="M128" s="462"/>
      <c r="N128" s="462"/>
      <c r="O128" s="462"/>
      <c r="P128" s="462"/>
      <c r="Q128" s="462"/>
    </row>
    <row r="129" spans="1:17" s="463" customFormat="1" ht="30" customHeight="1">
      <c r="A129" s="410" t="s">
        <v>456</v>
      </c>
      <c r="B129" s="464"/>
      <c r="C129" s="465"/>
      <c r="D129" s="863">
        <v>108993</v>
      </c>
      <c r="E129" s="863">
        <v>0</v>
      </c>
      <c r="F129" s="413">
        <f t="shared" si="3"/>
        <v>108993</v>
      </c>
      <c r="G129" s="462"/>
      <c r="H129" s="462"/>
      <c r="I129" s="462"/>
      <c r="J129" s="462"/>
      <c r="K129" s="462"/>
      <c r="L129" s="462"/>
      <c r="M129" s="462"/>
      <c r="N129" s="462"/>
      <c r="O129" s="462"/>
      <c r="P129" s="462"/>
      <c r="Q129" s="462"/>
    </row>
    <row r="130" spans="1:17" s="463" customFormat="1" ht="30" customHeight="1">
      <c r="A130" s="410" t="s">
        <v>272</v>
      </c>
      <c r="B130" s="464"/>
      <c r="C130" s="465"/>
      <c r="D130" s="863">
        <v>0</v>
      </c>
      <c r="E130" s="863">
        <v>0</v>
      </c>
      <c r="F130" s="413">
        <f t="shared" si="3"/>
        <v>0</v>
      </c>
      <c r="G130" s="462"/>
      <c r="H130" s="462"/>
      <c r="I130" s="462"/>
      <c r="J130" s="462"/>
      <c r="K130" s="462"/>
      <c r="L130" s="462"/>
      <c r="M130" s="462"/>
      <c r="N130" s="462"/>
      <c r="O130" s="462"/>
      <c r="P130" s="462"/>
      <c r="Q130" s="462"/>
    </row>
    <row r="131" spans="1:17" s="463" customFormat="1" ht="30" customHeight="1">
      <c r="A131" s="410" t="s">
        <v>273</v>
      </c>
      <c r="B131" s="464"/>
      <c r="C131" s="465"/>
      <c r="D131" s="863">
        <v>0</v>
      </c>
      <c r="E131" s="863">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3">
        <v>0</v>
      </c>
      <c r="E132" s="863">
        <v>0</v>
      </c>
      <c r="F132" s="413">
        <f t="shared" si="3"/>
        <v>0</v>
      </c>
      <c r="G132" s="462"/>
      <c r="H132" s="462"/>
      <c r="I132" s="462"/>
      <c r="J132" s="462"/>
      <c r="K132" s="462"/>
      <c r="L132" s="462"/>
      <c r="M132" s="462"/>
      <c r="N132" s="462"/>
      <c r="O132" s="462"/>
      <c r="P132" s="462"/>
      <c r="Q132" s="462"/>
    </row>
    <row r="133" spans="1:17" s="463" customFormat="1" ht="30" customHeight="1">
      <c r="A133" s="410" t="s">
        <v>275</v>
      </c>
      <c r="B133" s="464"/>
      <c r="C133" s="465"/>
      <c r="D133" s="863">
        <v>0</v>
      </c>
      <c r="E133" s="863">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4">
        <v>0</v>
      </c>
      <c r="E134" s="864">
        <v>0</v>
      </c>
      <c r="F134" s="418">
        <f t="shared" si="3"/>
        <v>0</v>
      </c>
      <c r="G134" s="462"/>
      <c r="H134" s="462"/>
      <c r="I134" s="462"/>
      <c r="J134" s="462"/>
      <c r="K134" s="462"/>
      <c r="L134" s="462"/>
      <c r="M134" s="462"/>
      <c r="N134" s="462"/>
      <c r="O134" s="462"/>
      <c r="P134" s="462"/>
      <c r="Q134" s="462"/>
    </row>
    <row r="135" spans="1:17" ht="30" customHeight="1" thickBot="1">
      <c r="A135" s="1169" t="s">
        <v>267</v>
      </c>
      <c r="B135" s="1170"/>
      <c r="C135" s="456"/>
      <c r="D135" s="457">
        <f>SUM(D123:D134)</f>
        <v>2744584</v>
      </c>
      <c r="E135" s="458">
        <f>SUM(E123:E134)</f>
        <v>0</v>
      </c>
      <c r="F135" s="459">
        <f>SUM(F123:F134)</f>
        <v>2744584</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100.5" customHeight="1">
      <c r="A137" s="1335" t="s">
        <v>748</v>
      </c>
      <c r="B137" s="1335"/>
      <c r="C137" s="448"/>
      <c r="D137" s="449">
        <f>D135-D119</f>
        <v>0</v>
      </c>
      <c r="E137" s="449">
        <f t="shared" ref="E137:F137" si="4">E135-E119</f>
        <v>0</v>
      </c>
      <c r="F137" s="449">
        <f t="shared" si="4"/>
        <v>0</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7" t="s">
        <v>747</v>
      </c>
      <c r="B139" s="409"/>
      <c r="C139" s="409"/>
      <c r="D139" s="450"/>
      <c r="E139" s="450"/>
      <c r="F139" s="451"/>
      <c r="G139" s="443"/>
      <c r="H139" s="443"/>
      <c r="I139" s="443"/>
      <c r="J139" s="443"/>
      <c r="K139" s="443"/>
      <c r="L139" s="443"/>
      <c r="M139" s="443"/>
      <c r="N139" s="443"/>
      <c r="O139" s="443"/>
      <c r="P139" s="443"/>
      <c r="Q139" s="443"/>
    </row>
    <row r="140" spans="1:17" ht="30" customHeight="1">
      <c r="A140" s="1161"/>
      <c r="B140" s="1162"/>
      <c r="C140" s="1162"/>
      <c r="D140" s="1162"/>
      <c r="E140" s="1162"/>
      <c r="F140" s="1163"/>
      <c r="G140" s="443"/>
      <c r="H140" s="443"/>
      <c r="I140" s="443"/>
      <c r="J140" s="443"/>
      <c r="K140" s="443"/>
      <c r="L140" s="443"/>
      <c r="M140" s="443"/>
      <c r="N140" s="443"/>
      <c r="O140" s="443"/>
      <c r="P140" s="443"/>
      <c r="Q140" s="443"/>
    </row>
    <row r="141" spans="1:17" ht="30" customHeight="1">
      <c r="A141" s="1164"/>
      <c r="B141" s="1105"/>
      <c r="C141" s="1105"/>
      <c r="D141" s="1105"/>
      <c r="E141" s="1105"/>
      <c r="F141" s="1165"/>
      <c r="G141" s="443"/>
      <c r="H141" s="443"/>
      <c r="I141" s="443"/>
      <c r="J141" s="443"/>
      <c r="K141" s="443"/>
      <c r="L141" s="443"/>
      <c r="M141" s="443"/>
      <c r="N141" s="443"/>
      <c r="O141" s="443"/>
      <c r="P141" s="443"/>
      <c r="Q141" s="443"/>
    </row>
    <row r="142" spans="1:17" ht="30" customHeight="1">
      <c r="A142" s="1164"/>
      <c r="B142" s="1105"/>
      <c r="C142" s="1105"/>
      <c r="D142" s="1105"/>
      <c r="E142" s="1105"/>
      <c r="F142" s="1165"/>
      <c r="G142" s="443"/>
      <c r="H142" s="443"/>
      <c r="I142" s="443"/>
      <c r="J142" s="443"/>
      <c r="K142" s="443"/>
      <c r="L142" s="443"/>
      <c r="M142" s="443"/>
      <c r="N142" s="443"/>
      <c r="O142" s="443"/>
      <c r="P142" s="443"/>
      <c r="Q142" s="443"/>
    </row>
    <row r="143" spans="1:17" ht="30" customHeight="1">
      <c r="A143" s="1164"/>
      <c r="B143" s="1105"/>
      <c r="C143" s="1105"/>
      <c r="D143" s="1105"/>
      <c r="E143" s="1105"/>
      <c r="F143" s="1165"/>
      <c r="G143" s="443"/>
      <c r="H143" s="443"/>
      <c r="I143" s="443"/>
      <c r="J143" s="443"/>
      <c r="K143" s="443"/>
      <c r="L143" s="443"/>
      <c r="M143" s="443"/>
      <c r="N143" s="443"/>
      <c r="O143" s="443"/>
      <c r="P143" s="443"/>
      <c r="Q143" s="443"/>
    </row>
    <row r="144" spans="1:17" ht="30" customHeight="1">
      <c r="A144" s="1164"/>
      <c r="B144" s="1105"/>
      <c r="C144" s="1105"/>
      <c r="D144" s="1105"/>
      <c r="E144" s="1105"/>
      <c r="F144" s="1165"/>
      <c r="G144" s="443"/>
      <c r="H144" s="443"/>
      <c r="I144" s="443"/>
      <c r="J144" s="443"/>
      <c r="K144" s="443"/>
      <c r="L144" s="443"/>
      <c r="M144" s="443"/>
      <c r="N144" s="443"/>
      <c r="O144" s="443"/>
      <c r="P144" s="443"/>
      <c r="Q144" s="443"/>
    </row>
    <row r="145" spans="1:17" ht="30" customHeight="1">
      <c r="A145" s="1164"/>
      <c r="B145" s="1105"/>
      <c r="C145" s="1105"/>
      <c r="D145" s="1105"/>
      <c r="E145" s="1105"/>
      <c r="F145" s="1165"/>
      <c r="G145" s="443"/>
      <c r="H145" s="443"/>
      <c r="I145" s="443"/>
      <c r="J145" s="443"/>
      <c r="K145" s="443"/>
      <c r="L145" s="443"/>
      <c r="M145" s="443"/>
      <c r="N145" s="443"/>
      <c r="O145" s="443"/>
      <c r="P145" s="443"/>
      <c r="Q145" s="443"/>
    </row>
    <row r="146" spans="1:17" ht="30" customHeight="1" thickBot="1">
      <c r="A146" s="1166"/>
      <c r="B146" s="1167"/>
      <c r="C146" s="1167"/>
      <c r="D146" s="1167"/>
      <c r="E146" s="1167"/>
      <c r="F146" s="1168"/>
      <c r="G146" s="443"/>
      <c r="H146" s="443"/>
      <c r="I146" s="443"/>
      <c r="J146" s="443"/>
      <c r="K146" s="443"/>
      <c r="L146" s="443"/>
      <c r="M146" s="443"/>
      <c r="N146" s="443"/>
      <c r="O146" s="443"/>
      <c r="P146" s="443"/>
      <c r="Q146" s="443"/>
    </row>
    <row r="147" spans="1:17" ht="30" customHeight="1">
      <c r="A147" s="870"/>
      <c r="B147" s="870"/>
      <c r="C147" s="870"/>
      <c r="D147" s="870"/>
      <c r="E147" s="870"/>
      <c r="F147" s="870"/>
      <c r="G147" s="443"/>
      <c r="H147" s="443"/>
      <c r="I147" s="443"/>
      <c r="J147" s="443"/>
      <c r="K147" s="443"/>
      <c r="L147" s="443"/>
      <c r="M147" s="443"/>
      <c r="N147" s="443"/>
      <c r="O147" s="443"/>
      <c r="P147" s="443"/>
      <c r="Q147" s="443"/>
    </row>
    <row r="148" spans="1:17" ht="27" customHeight="1" thickBot="1">
      <c r="A148" s="877" t="s">
        <v>749</v>
      </c>
      <c r="B148" s="871"/>
      <c r="C148" s="871"/>
      <c r="D148" s="450"/>
      <c r="E148" s="450"/>
      <c r="F148" s="451"/>
      <c r="G148" s="443"/>
      <c r="H148" s="443"/>
      <c r="I148" s="443"/>
      <c r="J148" s="443"/>
      <c r="K148" s="443"/>
      <c r="L148" s="443"/>
      <c r="M148" s="443"/>
      <c r="N148" s="443"/>
      <c r="O148" s="443"/>
      <c r="P148" s="443"/>
      <c r="Q148" s="443"/>
    </row>
    <row r="149" spans="1:17" ht="30" customHeight="1">
      <c r="A149" s="1161"/>
      <c r="B149" s="1162"/>
      <c r="C149" s="1162"/>
      <c r="D149" s="1162"/>
      <c r="E149" s="1162"/>
      <c r="F149" s="1163"/>
      <c r="G149" s="443"/>
      <c r="H149" s="443"/>
      <c r="I149" s="443"/>
      <c r="J149" s="443"/>
      <c r="K149" s="443"/>
      <c r="L149" s="443"/>
      <c r="M149" s="443"/>
      <c r="N149" s="443"/>
      <c r="O149" s="443"/>
      <c r="P149" s="443"/>
      <c r="Q149" s="443"/>
    </row>
    <row r="150" spans="1:17" ht="30" customHeight="1">
      <c r="A150" s="1164"/>
      <c r="B150" s="1105"/>
      <c r="C150" s="1105"/>
      <c r="D150" s="1105"/>
      <c r="E150" s="1105"/>
      <c r="F150" s="1165"/>
      <c r="G150" s="443"/>
      <c r="H150" s="443"/>
      <c r="I150" s="443"/>
      <c r="J150" s="443"/>
      <c r="K150" s="443"/>
      <c r="L150" s="443"/>
      <c r="M150" s="443"/>
      <c r="N150" s="443"/>
      <c r="O150" s="443"/>
      <c r="P150" s="443"/>
      <c r="Q150" s="443"/>
    </row>
    <row r="151" spans="1:17" ht="30" customHeight="1">
      <c r="A151" s="1164"/>
      <c r="B151" s="1105"/>
      <c r="C151" s="1105"/>
      <c r="D151" s="1105"/>
      <c r="E151" s="1105"/>
      <c r="F151" s="1165"/>
      <c r="G151" s="443"/>
      <c r="H151" s="443"/>
      <c r="I151" s="443"/>
      <c r="J151" s="443"/>
      <c r="K151" s="443"/>
      <c r="L151" s="443"/>
      <c r="M151" s="443"/>
      <c r="N151" s="443"/>
      <c r="O151" s="443"/>
      <c r="P151" s="443"/>
      <c r="Q151" s="443"/>
    </row>
    <row r="152" spans="1:17" ht="30" customHeight="1">
      <c r="A152" s="1164"/>
      <c r="B152" s="1105"/>
      <c r="C152" s="1105"/>
      <c r="D152" s="1105"/>
      <c r="E152" s="1105"/>
      <c r="F152" s="1165"/>
      <c r="G152" s="443"/>
      <c r="H152" s="443"/>
      <c r="I152" s="443"/>
      <c r="J152" s="443"/>
      <c r="K152" s="443"/>
      <c r="L152" s="443"/>
      <c r="M152" s="443"/>
      <c r="N152" s="443"/>
      <c r="O152" s="443"/>
      <c r="P152" s="443"/>
      <c r="Q152" s="443"/>
    </row>
    <row r="153" spans="1:17" ht="30" customHeight="1">
      <c r="A153" s="1164"/>
      <c r="B153" s="1105"/>
      <c r="C153" s="1105"/>
      <c r="D153" s="1105"/>
      <c r="E153" s="1105"/>
      <c r="F153" s="1165"/>
      <c r="G153" s="443"/>
      <c r="H153" s="443"/>
      <c r="I153" s="443"/>
      <c r="J153" s="443"/>
      <c r="K153" s="443"/>
      <c r="L153" s="443"/>
      <c r="M153" s="443"/>
      <c r="N153" s="443"/>
      <c r="O153" s="443"/>
      <c r="P153" s="443"/>
      <c r="Q153" s="443"/>
    </row>
    <row r="154" spans="1:17" ht="30" customHeight="1">
      <c r="A154" s="1164"/>
      <c r="B154" s="1105"/>
      <c r="C154" s="1105"/>
      <c r="D154" s="1105"/>
      <c r="E154" s="1105"/>
      <c r="F154" s="1165"/>
      <c r="G154" s="443"/>
      <c r="H154" s="443"/>
      <c r="I154" s="443"/>
      <c r="J154" s="443"/>
      <c r="K154" s="443"/>
      <c r="L154" s="443"/>
      <c r="M154" s="443"/>
      <c r="N154" s="443"/>
      <c r="O154" s="443"/>
      <c r="P154" s="443"/>
      <c r="Q154" s="443"/>
    </row>
    <row r="155" spans="1:17" ht="30" customHeight="1" thickBot="1">
      <c r="A155" s="1166"/>
      <c r="B155" s="1167"/>
      <c r="C155" s="1167"/>
      <c r="D155" s="1167"/>
      <c r="E155" s="1167"/>
      <c r="F155" s="1168"/>
      <c r="G155" s="443"/>
      <c r="H155" s="443"/>
      <c r="I155" s="443"/>
      <c r="J155" s="443"/>
      <c r="K155" s="443"/>
      <c r="L155" s="443"/>
      <c r="M155" s="443"/>
      <c r="N155" s="443"/>
      <c r="O155" s="443"/>
      <c r="P155" s="443"/>
      <c r="Q155" s="443"/>
    </row>
    <row r="156" spans="1:17" ht="25.15" customHeight="1">
      <c r="F156" s="453"/>
      <c r="G156" s="443"/>
      <c r="H156" s="443"/>
      <c r="I156" s="443"/>
      <c r="J156" s="443"/>
      <c r="K156" s="443"/>
      <c r="L156" s="443"/>
      <c r="M156" s="443"/>
      <c r="N156" s="443"/>
      <c r="O156" s="443"/>
      <c r="P156" s="443"/>
      <c r="Q156" s="443"/>
    </row>
    <row r="157" spans="1:17" ht="25.15" customHeight="1">
      <c r="F157" s="453"/>
      <c r="G157" s="443"/>
      <c r="H157" s="443"/>
      <c r="I157" s="443"/>
      <c r="J157" s="443"/>
      <c r="K157" s="443"/>
      <c r="L157" s="443"/>
      <c r="M157" s="443"/>
      <c r="N157" s="443"/>
      <c r="O157" s="443"/>
      <c r="P157" s="443"/>
      <c r="Q157" s="443"/>
    </row>
    <row r="158" spans="1:17" ht="25.15" customHeight="1">
      <c r="F158" s="453"/>
      <c r="G158" s="443"/>
      <c r="H158" s="443"/>
      <c r="I158" s="443"/>
      <c r="J158" s="443"/>
      <c r="K158" s="443"/>
      <c r="L158" s="443"/>
      <c r="M158" s="443"/>
      <c r="N158" s="443"/>
      <c r="O158" s="443"/>
      <c r="P158" s="443"/>
      <c r="Q158" s="443"/>
    </row>
    <row r="159" spans="1:17" ht="25.15" customHeight="1">
      <c r="F159" s="453"/>
      <c r="G159" s="443"/>
      <c r="H159" s="443"/>
      <c r="I159" s="443"/>
      <c r="J159" s="443"/>
      <c r="K159" s="443"/>
      <c r="L159" s="443"/>
      <c r="M159" s="443"/>
      <c r="N159" s="443"/>
      <c r="O159" s="443"/>
      <c r="P159" s="443"/>
      <c r="Q159" s="443"/>
    </row>
    <row r="160" spans="1:17" ht="25.15" customHeight="1">
      <c r="F160" s="453"/>
      <c r="G160" s="443"/>
      <c r="H160" s="443"/>
      <c r="I160" s="443"/>
      <c r="J160" s="443"/>
      <c r="K160" s="443"/>
      <c r="L160" s="443"/>
      <c r="M160" s="443"/>
      <c r="N160" s="443"/>
      <c r="O160" s="443"/>
      <c r="P160" s="443"/>
      <c r="Q160" s="443"/>
    </row>
    <row r="161" spans="5:17" ht="25.15" customHeight="1">
      <c r="E161" s="454"/>
      <c r="F161" s="453"/>
      <c r="G161" s="443"/>
      <c r="H161" s="443"/>
      <c r="I161" s="443"/>
      <c r="J161" s="443"/>
      <c r="K161" s="443"/>
      <c r="L161" s="443"/>
      <c r="M161" s="443"/>
      <c r="N161" s="443"/>
      <c r="O161" s="443"/>
      <c r="P161" s="443"/>
      <c r="Q161" s="443"/>
    </row>
    <row r="162" spans="5:17" ht="25.15" customHeight="1">
      <c r="E162" s="454"/>
      <c r="F162" s="453"/>
      <c r="G162" s="443"/>
      <c r="H162" s="443"/>
      <c r="I162" s="443"/>
      <c r="J162" s="443"/>
      <c r="K162" s="443"/>
      <c r="L162" s="443"/>
      <c r="M162" s="443"/>
      <c r="N162" s="443"/>
      <c r="O162" s="443"/>
      <c r="P162" s="443"/>
      <c r="Q162" s="443"/>
    </row>
    <row r="163" spans="5:17" ht="25.15" customHeight="1">
      <c r="E163" s="454"/>
      <c r="F163" s="453"/>
      <c r="G163" s="443"/>
      <c r="H163" s="443"/>
      <c r="I163" s="443"/>
      <c r="J163" s="443"/>
      <c r="K163" s="443"/>
      <c r="L163" s="443"/>
      <c r="M163" s="443"/>
      <c r="N163" s="443"/>
      <c r="O163" s="443"/>
      <c r="P163" s="443"/>
      <c r="Q163" s="443"/>
    </row>
    <row r="164" spans="5:17" ht="25.15" customHeight="1">
      <c r="F164" s="453"/>
      <c r="G164" s="443"/>
      <c r="H164" s="443"/>
      <c r="I164" s="443"/>
      <c r="J164" s="443"/>
      <c r="K164" s="443"/>
      <c r="L164" s="443"/>
      <c r="M164" s="443"/>
      <c r="N164" s="443"/>
      <c r="O164" s="443"/>
      <c r="P164" s="443"/>
      <c r="Q164" s="443"/>
    </row>
    <row r="165" spans="5:17" ht="25.15" customHeight="1">
      <c r="F165" s="453"/>
      <c r="G165" s="443"/>
      <c r="H165" s="443"/>
      <c r="I165" s="443"/>
      <c r="J165" s="443"/>
      <c r="K165" s="443"/>
      <c r="L165" s="443"/>
      <c r="M165" s="443"/>
      <c r="N165" s="443"/>
      <c r="O165" s="443"/>
      <c r="P165" s="443"/>
      <c r="Q165" s="443"/>
    </row>
    <row r="166" spans="5:17" ht="25.15" customHeight="1">
      <c r="F166" s="453"/>
      <c r="G166" s="443"/>
      <c r="H166" s="443"/>
      <c r="I166" s="443"/>
      <c r="J166" s="443"/>
      <c r="K166" s="443"/>
      <c r="L166" s="443"/>
      <c r="M166" s="443"/>
      <c r="N166" s="443"/>
      <c r="O166" s="443"/>
      <c r="P166" s="443"/>
      <c r="Q166" s="443"/>
    </row>
    <row r="167" spans="5:17" ht="25.15" customHeight="1">
      <c r="F167" s="453"/>
      <c r="G167" s="443"/>
      <c r="H167" s="443"/>
      <c r="I167" s="443"/>
      <c r="J167" s="443"/>
      <c r="K167" s="443"/>
      <c r="L167" s="443"/>
      <c r="M167" s="443"/>
      <c r="N167" s="443"/>
      <c r="O167" s="443"/>
      <c r="P167" s="443"/>
      <c r="Q167" s="443"/>
    </row>
    <row r="168" spans="5:17" ht="25.15" customHeight="1">
      <c r="F168" s="453"/>
      <c r="G168" s="443"/>
      <c r="H168" s="443"/>
      <c r="I168" s="443"/>
      <c r="J168" s="443"/>
      <c r="K168" s="443"/>
      <c r="L168" s="443"/>
      <c r="M168" s="443"/>
      <c r="N168" s="443"/>
      <c r="O168" s="443"/>
      <c r="P168" s="443"/>
      <c r="Q168" s="443"/>
    </row>
    <row r="169" spans="5:17" ht="25.15" customHeight="1">
      <c r="F169" s="453"/>
      <c r="G169" s="443"/>
      <c r="H169" s="443"/>
      <c r="I169" s="443"/>
      <c r="J169" s="443"/>
      <c r="K169" s="443"/>
      <c r="L169" s="443"/>
      <c r="M169" s="443"/>
      <c r="N169" s="443"/>
      <c r="O169" s="443"/>
      <c r="P169" s="443"/>
      <c r="Q169" s="443"/>
    </row>
    <row r="170" spans="5:17" ht="25.15" customHeight="1">
      <c r="F170" s="453"/>
      <c r="G170" s="443"/>
      <c r="H170" s="443"/>
      <c r="I170" s="443"/>
      <c r="J170" s="443"/>
      <c r="K170" s="443"/>
      <c r="L170" s="443"/>
      <c r="M170" s="443"/>
      <c r="N170" s="443"/>
      <c r="O170" s="443"/>
      <c r="P170" s="443"/>
      <c r="Q170" s="443"/>
    </row>
    <row r="171" spans="5:17" ht="25.15" customHeight="1">
      <c r="F171" s="453"/>
      <c r="G171" s="443"/>
      <c r="H171" s="443"/>
      <c r="I171" s="443"/>
      <c r="J171" s="443"/>
      <c r="K171" s="443"/>
      <c r="L171" s="443"/>
      <c r="M171" s="443"/>
      <c r="N171" s="443"/>
      <c r="O171" s="443"/>
      <c r="P171" s="443"/>
      <c r="Q171" s="443"/>
    </row>
    <row r="172" spans="5:17" ht="25.15" customHeight="1">
      <c r="F172" s="453"/>
      <c r="G172" s="443"/>
      <c r="H172" s="443"/>
      <c r="I172" s="443"/>
      <c r="J172" s="443"/>
      <c r="K172" s="443"/>
      <c r="L172" s="443"/>
      <c r="M172" s="443"/>
      <c r="N172" s="443"/>
      <c r="O172" s="443"/>
      <c r="P172" s="443"/>
      <c r="Q172" s="443"/>
    </row>
    <row r="173" spans="5:17" ht="25.15" customHeight="1">
      <c r="F173" s="453"/>
      <c r="G173" s="443"/>
      <c r="H173" s="443"/>
      <c r="I173" s="443"/>
      <c r="J173" s="443"/>
      <c r="K173" s="443"/>
      <c r="L173" s="443"/>
      <c r="M173" s="443"/>
      <c r="N173" s="443"/>
      <c r="O173" s="443"/>
      <c r="P173" s="443"/>
      <c r="Q173" s="443"/>
    </row>
    <row r="174" spans="5:17" ht="25.15" customHeight="1">
      <c r="F174" s="453"/>
      <c r="G174" s="443"/>
      <c r="H174" s="443"/>
      <c r="I174" s="443"/>
      <c r="J174" s="443"/>
      <c r="K174" s="443"/>
      <c r="L174" s="443"/>
      <c r="M174" s="443"/>
      <c r="N174" s="443"/>
      <c r="O174" s="443"/>
      <c r="P174" s="443"/>
      <c r="Q174" s="443"/>
    </row>
    <row r="175" spans="5:17" ht="25.15" customHeight="1">
      <c r="F175" s="453"/>
      <c r="G175" s="443"/>
      <c r="H175" s="443"/>
      <c r="I175" s="443"/>
      <c r="J175" s="443"/>
      <c r="K175" s="443"/>
      <c r="L175" s="443"/>
      <c r="M175" s="443"/>
      <c r="N175" s="443"/>
      <c r="O175" s="443"/>
      <c r="P175" s="443"/>
      <c r="Q175" s="443"/>
    </row>
    <row r="176" spans="5:17" ht="25.15" customHeight="1">
      <c r="F176" s="453"/>
      <c r="G176" s="443"/>
      <c r="H176" s="443"/>
      <c r="I176" s="443"/>
      <c r="J176" s="443"/>
      <c r="K176" s="443"/>
      <c r="L176" s="443"/>
      <c r="M176" s="443"/>
      <c r="N176" s="443"/>
      <c r="O176" s="443"/>
      <c r="P176" s="443"/>
      <c r="Q176" s="443"/>
    </row>
    <row r="177" spans="6:17" ht="25.15" customHeight="1">
      <c r="F177" s="453"/>
      <c r="G177" s="443"/>
      <c r="H177" s="443"/>
      <c r="I177" s="443"/>
      <c r="J177" s="443"/>
      <c r="K177" s="443"/>
      <c r="L177" s="443"/>
      <c r="M177" s="443"/>
      <c r="N177" s="443"/>
      <c r="O177" s="443"/>
      <c r="P177" s="443"/>
      <c r="Q177" s="443"/>
    </row>
    <row r="178" spans="6:17" ht="25.15" customHeight="1">
      <c r="F178" s="453"/>
      <c r="G178" s="443"/>
      <c r="H178" s="443"/>
      <c r="I178" s="443"/>
      <c r="J178" s="443"/>
      <c r="K178" s="443"/>
      <c r="L178" s="443"/>
      <c r="M178" s="443"/>
      <c r="N178" s="443"/>
      <c r="O178" s="443"/>
      <c r="P178" s="443"/>
      <c r="Q178" s="443"/>
    </row>
    <row r="179" spans="6:17" ht="25.15" customHeight="1">
      <c r="F179" s="453"/>
      <c r="G179" s="443"/>
      <c r="H179" s="443"/>
      <c r="I179" s="443"/>
      <c r="J179" s="443"/>
      <c r="K179" s="443"/>
      <c r="L179" s="443"/>
      <c r="M179" s="443"/>
      <c r="N179" s="443"/>
      <c r="O179" s="443"/>
      <c r="P179" s="443"/>
      <c r="Q179" s="443"/>
    </row>
    <row r="180" spans="6:17" ht="25.15" customHeight="1">
      <c r="F180" s="453"/>
      <c r="G180" s="443"/>
      <c r="H180" s="443"/>
      <c r="I180" s="443"/>
      <c r="J180" s="443"/>
      <c r="K180" s="443"/>
      <c r="L180" s="443"/>
      <c r="M180" s="443"/>
      <c r="N180" s="443"/>
      <c r="O180" s="443"/>
      <c r="P180" s="443"/>
      <c r="Q180" s="443"/>
    </row>
    <row r="181" spans="6:17" ht="25.15" customHeight="1">
      <c r="F181" s="453"/>
      <c r="G181" s="443"/>
      <c r="H181" s="443"/>
      <c r="I181" s="443"/>
      <c r="J181" s="443"/>
      <c r="K181" s="443"/>
      <c r="L181" s="443"/>
      <c r="M181" s="443"/>
      <c r="N181" s="443"/>
      <c r="O181" s="443"/>
      <c r="P181" s="443"/>
      <c r="Q181" s="443"/>
    </row>
    <row r="182" spans="6:17" ht="25.15" customHeight="1">
      <c r="F182" s="453"/>
      <c r="G182" s="443"/>
      <c r="H182" s="443"/>
      <c r="I182" s="443"/>
      <c r="J182" s="443"/>
      <c r="K182" s="443"/>
      <c r="L182" s="443"/>
      <c r="M182" s="443"/>
      <c r="N182" s="443"/>
      <c r="O182" s="443"/>
      <c r="P182" s="443"/>
      <c r="Q182" s="443"/>
    </row>
    <row r="183" spans="6:17" ht="25.15" customHeight="1">
      <c r="F183" s="453"/>
      <c r="G183" s="443"/>
      <c r="H183" s="443"/>
      <c r="I183" s="443"/>
      <c r="J183" s="443"/>
      <c r="K183" s="443"/>
      <c r="L183" s="443"/>
      <c r="M183" s="443"/>
      <c r="N183" s="443"/>
      <c r="O183" s="443"/>
      <c r="P183" s="443"/>
      <c r="Q183" s="443"/>
    </row>
    <row r="184" spans="6:17" ht="25.15" customHeight="1">
      <c r="F184" s="453"/>
      <c r="G184" s="443"/>
      <c r="H184" s="443"/>
      <c r="I184" s="443"/>
      <c r="J184" s="443"/>
      <c r="K184" s="443"/>
      <c r="L184" s="443"/>
      <c r="M184" s="443"/>
      <c r="N184" s="443"/>
      <c r="O184" s="443"/>
      <c r="P184" s="443"/>
      <c r="Q184" s="443"/>
    </row>
    <row r="185" spans="6:17" ht="25.15" customHeight="1">
      <c r="F185" s="453"/>
      <c r="G185" s="443"/>
      <c r="H185" s="443"/>
      <c r="I185" s="443"/>
      <c r="J185" s="443"/>
      <c r="K185" s="443"/>
      <c r="L185" s="443"/>
      <c r="M185" s="443"/>
      <c r="N185" s="443"/>
      <c r="O185" s="443"/>
      <c r="P185" s="443"/>
      <c r="Q185" s="443"/>
    </row>
    <row r="186" spans="6:17" ht="25.15" customHeight="1">
      <c r="F186" s="453"/>
      <c r="G186" s="443"/>
      <c r="H186" s="443"/>
      <c r="I186" s="443"/>
      <c r="J186" s="443"/>
      <c r="K186" s="443"/>
      <c r="L186" s="443"/>
      <c r="M186" s="443"/>
      <c r="N186" s="443"/>
      <c r="O186" s="443"/>
      <c r="P186" s="443"/>
      <c r="Q186" s="443"/>
    </row>
    <row r="187" spans="6:17" ht="25.15" customHeight="1">
      <c r="F187" s="453"/>
      <c r="G187" s="443"/>
      <c r="H187" s="443"/>
      <c r="I187" s="443"/>
      <c r="J187" s="443"/>
      <c r="K187" s="443"/>
      <c r="L187" s="443"/>
      <c r="M187" s="443"/>
      <c r="N187" s="443"/>
      <c r="O187" s="443"/>
      <c r="P187" s="443"/>
      <c r="Q187" s="443"/>
    </row>
    <row r="188" spans="6:17" ht="25.15" customHeight="1">
      <c r="F188" s="453"/>
      <c r="G188" s="443"/>
      <c r="H188" s="443"/>
      <c r="I188" s="443"/>
      <c r="J188" s="443"/>
      <c r="K188" s="443"/>
      <c r="L188" s="443"/>
      <c r="M188" s="443"/>
      <c r="N188" s="443"/>
      <c r="O188" s="443"/>
      <c r="P188" s="443"/>
      <c r="Q188" s="443"/>
    </row>
    <row r="189" spans="6:17" ht="25.15" customHeight="1">
      <c r="F189" s="453"/>
      <c r="G189" s="443"/>
      <c r="H189" s="443"/>
      <c r="I189" s="443"/>
      <c r="J189" s="443"/>
      <c r="K189" s="443"/>
      <c r="L189" s="443"/>
      <c r="M189" s="443"/>
      <c r="N189" s="443"/>
      <c r="O189" s="443"/>
      <c r="P189" s="443"/>
      <c r="Q189" s="443"/>
    </row>
    <row r="190" spans="6:17" ht="25.15" customHeight="1">
      <c r="F190" s="453"/>
      <c r="G190" s="443"/>
      <c r="H190" s="443"/>
      <c r="I190" s="443"/>
      <c r="J190" s="443"/>
      <c r="K190" s="443"/>
      <c r="L190" s="443"/>
      <c r="M190" s="443"/>
      <c r="N190" s="443"/>
      <c r="O190" s="443"/>
      <c r="P190" s="443"/>
      <c r="Q190" s="443"/>
    </row>
    <row r="191" spans="6:17" ht="25.15" customHeight="1">
      <c r="F191" s="453"/>
      <c r="G191" s="443"/>
      <c r="H191" s="443"/>
      <c r="I191" s="443"/>
      <c r="J191" s="443"/>
      <c r="K191" s="443"/>
      <c r="L191" s="443"/>
      <c r="M191" s="443"/>
      <c r="N191" s="443"/>
      <c r="O191" s="443"/>
      <c r="P191" s="443"/>
      <c r="Q191" s="443"/>
    </row>
    <row r="192" spans="6:17" ht="25.15" customHeight="1">
      <c r="F192" s="453"/>
      <c r="G192" s="443"/>
      <c r="H192" s="443"/>
      <c r="I192" s="443"/>
      <c r="J192" s="443"/>
      <c r="K192" s="443"/>
      <c r="L192" s="443"/>
      <c r="M192" s="443"/>
      <c r="N192" s="443"/>
      <c r="O192" s="443"/>
      <c r="P192" s="443"/>
      <c r="Q192" s="443"/>
    </row>
    <row r="193" spans="6:17" ht="25.15" customHeight="1">
      <c r="F193" s="453"/>
      <c r="G193" s="443"/>
      <c r="H193" s="443"/>
      <c r="I193" s="443"/>
      <c r="J193" s="443"/>
      <c r="K193" s="443"/>
      <c r="L193" s="443"/>
      <c r="M193" s="443"/>
      <c r="N193" s="443"/>
      <c r="O193" s="443"/>
      <c r="P193" s="443"/>
      <c r="Q193" s="443"/>
    </row>
    <row r="194" spans="6:17" ht="25.15" customHeight="1">
      <c r="F194" s="453"/>
      <c r="G194" s="443"/>
      <c r="H194" s="443"/>
      <c r="I194" s="443"/>
      <c r="J194" s="443"/>
      <c r="K194" s="443"/>
      <c r="L194" s="443"/>
      <c r="M194" s="443"/>
      <c r="N194" s="443"/>
      <c r="O194" s="443"/>
      <c r="P194" s="443"/>
      <c r="Q194" s="443"/>
    </row>
    <row r="195" spans="6:17" ht="25.15" customHeight="1">
      <c r="F195" s="453"/>
      <c r="G195" s="443"/>
      <c r="H195" s="443"/>
      <c r="I195" s="443"/>
      <c r="J195" s="443"/>
      <c r="K195" s="443"/>
      <c r="L195" s="443"/>
      <c r="M195" s="443"/>
      <c r="N195" s="443"/>
      <c r="O195" s="443"/>
      <c r="P195" s="443"/>
      <c r="Q195" s="443"/>
    </row>
    <row r="196" spans="6:17" ht="25.15" customHeight="1">
      <c r="F196" s="453"/>
      <c r="G196" s="443"/>
      <c r="H196" s="443"/>
      <c r="I196" s="443"/>
      <c r="J196" s="443"/>
      <c r="K196" s="443"/>
      <c r="L196" s="443"/>
      <c r="M196" s="443"/>
      <c r="N196" s="443"/>
      <c r="O196" s="443"/>
      <c r="P196" s="443"/>
      <c r="Q196" s="443"/>
    </row>
    <row r="197" spans="6:17" ht="25.15" customHeight="1">
      <c r="F197" s="453"/>
      <c r="G197" s="443"/>
      <c r="H197" s="443"/>
      <c r="I197" s="443"/>
      <c r="J197" s="443"/>
      <c r="K197" s="443"/>
      <c r="L197" s="443"/>
      <c r="M197" s="443"/>
      <c r="N197" s="443"/>
      <c r="O197" s="443"/>
      <c r="P197" s="443"/>
      <c r="Q197" s="443"/>
    </row>
    <row r="198" spans="6:17" ht="25.15" customHeight="1">
      <c r="F198" s="453"/>
      <c r="G198" s="443"/>
      <c r="H198" s="443"/>
      <c r="I198" s="443"/>
      <c r="J198" s="443"/>
      <c r="K198" s="443"/>
      <c r="L198" s="443"/>
      <c r="M198" s="443"/>
      <c r="N198" s="443"/>
      <c r="O198" s="443"/>
      <c r="P198" s="443"/>
      <c r="Q198" s="443"/>
    </row>
    <row r="199" spans="6:17" ht="25.15" customHeight="1">
      <c r="F199" s="453"/>
      <c r="G199" s="443"/>
      <c r="H199" s="443"/>
      <c r="I199" s="443"/>
      <c r="J199" s="443"/>
      <c r="K199" s="443"/>
      <c r="L199" s="443"/>
      <c r="M199" s="443"/>
      <c r="N199" s="443"/>
      <c r="O199" s="443"/>
      <c r="P199" s="443"/>
      <c r="Q199" s="443"/>
    </row>
    <row r="200" spans="6:17" ht="25.15" customHeight="1">
      <c r="F200" s="453"/>
      <c r="G200" s="443"/>
      <c r="H200" s="443"/>
      <c r="I200" s="443"/>
      <c r="J200" s="443"/>
      <c r="K200" s="443"/>
      <c r="L200" s="443"/>
      <c r="M200" s="443"/>
      <c r="N200" s="443"/>
      <c r="O200" s="443"/>
      <c r="P200" s="443"/>
      <c r="Q200" s="443"/>
    </row>
    <row r="201" spans="6:17" ht="25.15" customHeight="1">
      <c r="F201" s="453"/>
      <c r="G201" s="443"/>
      <c r="H201" s="443"/>
      <c r="I201" s="443"/>
      <c r="J201" s="443"/>
      <c r="K201" s="443"/>
      <c r="L201" s="443"/>
      <c r="M201" s="443"/>
      <c r="N201" s="443"/>
      <c r="O201" s="443"/>
      <c r="P201" s="443"/>
      <c r="Q201" s="443"/>
    </row>
    <row r="202" spans="6:17" ht="25.15" customHeight="1">
      <c r="F202" s="453"/>
      <c r="G202" s="443"/>
      <c r="H202" s="443"/>
      <c r="I202" s="443"/>
      <c r="J202" s="443"/>
      <c r="K202" s="443"/>
      <c r="L202" s="443"/>
      <c r="M202" s="443"/>
      <c r="N202" s="443"/>
      <c r="O202" s="443"/>
      <c r="P202" s="443"/>
      <c r="Q202" s="443"/>
    </row>
    <row r="203" spans="6:17" ht="25.15" customHeight="1">
      <c r="F203" s="453"/>
      <c r="G203" s="443"/>
      <c r="H203" s="443"/>
      <c r="I203" s="443"/>
      <c r="J203" s="443"/>
      <c r="K203" s="443"/>
      <c r="L203" s="443"/>
      <c r="M203" s="443"/>
      <c r="N203" s="443"/>
      <c r="O203" s="443"/>
      <c r="P203" s="443"/>
      <c r="Q203" s="443"/>
    </row>
    <row r="204" spans="6:17" ht="25.15" customHeight="1">
      <c r="F204" s="453"/>
      <c r="G204" s="443"/>
      <c r="H204" s="443"/>
      <c r="I204" s="443"/>
      <c r="J204" s="443"/>
      <c r="K204" s="443"/>
      <c r="L204" s="443"/>
      <c r="M204" s="443"/>
      <c r="N204" s="443"/>
      <c r="O204" s="443"/>
      <c r="P204" s="443"/>
      <c r="Q204" s="443"/>
    </row>
    <row r="205" spans="6:17" ht="25.15" customHeight="1">
      <c r="F205" s="453"/>
      <c r="G205" s="443"/>
      <c r="H205" s="443"/>
      <c r="I205" s="443"/>
      <c r="J205" s="443"/>
      <c r="K205" s="443"/>
      <c r="L205" s="443"/>
      <c r="M205" s="443"/>
      <c r="N205" s="443"/>
      <c r="O205" s="443"/>
      <c r="P205" s="443"/>
      <c r="Q205" s="443"/>
    </row>
    <row r="206" spans="6:17" ht="25.15" customHeight="1">
      <c r="F206" s="453"/>
      <c r="G206" s="443"/>
      <c r="H206" s="443"/>
      <c r="I206" s="443"/>
      <c r="J206" s="443"/>
      <c r="K206" s="443"/>
      <c r="L206" s="443"/>
      <c r="M206" s="443"/>
      <c r="N206" s="443"/>
      <c r="O206" s="443"/>
      <c r="P206" s="443"/>
      <c r="Q206" s="443"/>
    </row>
    <row r="207" spans="6:17" ht="25.15" customHeight="1">
      <c r="F207" s="453"/>
      <c r="G207" s="443"/>
      <c r="H207" s="443"/>
      <c r="I207" s="443"/>
      <c r="J207" s="443"/>
      <c r="K207" s="443"/>
      <c r="L207" s="443"/>
      <c r="M207" s="443"/>
      <c r="N207" s="443"/>
      <c r="O207" s="443"/>
      <c r="P207" s="443"/>
      <c r="Q207" s="443"/>
    </row>
    <row r="208" spans="6:17" ht="25.15" customHeight="1">
      <c r="F208" s="453"/>
      <c r="G208" s="443"/>
      <c r="H208" s="443"/>
      <c r="I208" s="443"/>
      <c r="J208" s="443"/>
      <c r="K208" s="443"/>
      <c r="L208" s="443"/>
      <c r="M208" s="443"/>
      <c r="N208" s="443"/>
      <c r="O208" s="443"/>
      <c r="P208" s="443"/>
      <c r="Q208" s="443"/>
    </row>
    <row r="209" spans="6:17" ht="25.15" customHeight="1">
      <c r="F209" s="453"/>
      <c r="G209" s="443"/>
      <c r="H209" s="443"/>
      <c r="I209" s="443"/>
      <c r="J209" s="443"/>
      <c r="K209" s="443"/>
      <c r="L209" s="443"/>
      <c r="M209" s="443"/>
      <c r="N209" s="443"/>
      <c r="O209" s="443"/>
      <c r="P209" s="443"/>
      <c r="Q209" s="443"/>
    </row>
    <row r="210" spans="6:17" ht="25.15" customHeight="1">
      <c r="F210" s="453"/>
      <c r="G210" s="443"/>
      <c r="H210" s="443"/>
      <c r="I210" s="443"/>
      <c r="J210" s="443"/>
      <c r="K210" s="443"/>
      <c r="L210" s="443"/>
      <c r="M210" s="443"/>
      <c r="N210" s="443"/>
      <c r="O210" s="443"/>
      <c r="P210" s="443"/>
      <c r="Q210" s="443"/>
    </row>
    <row r="211" spans="6:17" ht="25.15" customHeight="1">
      <c r="F211" s="453"/>
      <c r="G211" s="443"/>
      <c r="H211" s="443"/>
      <c r="I211" s="443"/>
      <c r="J211" s="443"/>
      <c r="K211" s="443"/>
      <c r="L211" s="443"/>
      <c r="M211" s="443"/>
      <c r="N211" s="443"/>
      <c r="O211" s="443"/>
      <c r="P211" s="443"/>
      <c r="Q211" s="443"/>
    </row>
    <row r="212" spans="6:17" ht="25.15" customHeight="1">
      <c r="F212" s="453"/>
      <c r="G212" s="443"/>
      <c r="H212" s="443"/>
      <c r="I212" s="443"/>
      <c r="J212" s="443"/>
      <c r="K212" s="443"/>
      <c r="L212" s="443"/>
      <c r="M212" s="443"/>
      <c r="N212" s="443"/>
      <c r="O212" s="443"/>
      <c r="P212" s="443"/>
      <c r="Q212" s="443"/>
    </row>
    <row r="213" spans="6:17" ht="25.15" customHeight="1">
      <c r="F213" s="453"/>
      <c r="G213" s="443"/>
      <c r="H213" s="443"/>
      <c r="I213" s="443"/>
      <c r="J213" s="443"/>
      <c r="K213" s="443"/>
      <c r="L213" s="443"/>
      <c r="M213" s="443"/>
      <c r="N213" s="443"/>
      <c r="O213" s="443"/>
      <c r="P213" s="443"/>
      <c r="Q213" s="443"/>
    </row>
    <row r="214" spans="6:17" ht="25.15" customHeight="1">
      <c r="F214" s="453"/>
      <c r="G214" s="443"/>
      <c r="H214" s="443"/>
      <c r="I214" s="443"/>
      <c r="J214" s="443"/>
      <c r="K214" s="443"/>
      <c r="L214" s="443"/>
      <c r="M214" s="443"/>
      <c r="N214" s="443"/>
      <c r="O214" s="443"/>
      <c r="P214" s="443"/>
      <c r="Q214" s="443"/>
    </row>
    <row r="215" spans="6:17" ht="25.15" customHeight="1">
      <c r="F215" s="453"/>
      <c r="G215" s="443"/>
      <c r="H215" s="443"/>
      <c r="I215" s="443"/>
      <c r="J215" s="443"/>
      <c r="K215" s="443"/>
      <c r="L215" s="443"/>
      <c r="M215" s="443"/>
      <c r="N215" s="443"/>
      <c r="O215" s="443"/>
      <c r="P215" s="443"/>
      <c r="Q215" s="443"/>
    </row>
    <row r="216" spans="6:17" ht="25.15" customHeight="1">
      <c r="F216" s="453"/>
      <c r="G216" s="443"/>
      <c r="H216" s="443"/>
      <c r="I216" s="443"/>
      <c r="J216" s="443"/>
      <c r="K216" s="443"/>
      <c r="L216" s="443"/>
      <c r="M216" s="443"/>
      <c r="N216" s="443"/>
      <c r="O216" s="443"/>
      <c r="P216" s="443"/>
      <c r="Q216" s="443"/>
    </row>
    <row r="217" spans="6:17" ht="25.15" customHeight="1">
      <c r="F217" s="453"/>
      <c r="G217" s="443"/>
      <c r="H217" s="443"/>
      <c r="I217" s="443"/>
      <c r="J217" s="443"/>
      <c r="K217" s="443"/>
      <c r="L217" s="443"/>
      <c r="M217" s="443"/>
      <c r="N217" s="443"/>
      <c r="O217" s="443"/>
      <c r="P217" s="443"/>
      <c r="Q217" s="443"/>
    </row>
    <row r="218" spans="6:17" ht="25.15" customHeight="1">
      <c r="F218" s="453"/>
      <c r="G218" s="443"/>
      <c r="H218" s="443"/>
      <c r="I218" s="443"/>
      <c r="J218" s="443"/>
      <c r="K218" s="443"/>
      <c r="L218" s="443"/>
      <c r="M218" s="443"/>
      <c r="N218" s="443"/>
      <c r="O218" s="443"/>
      <c r="P218" s="443"/>
      <c r="Q218" s="443"/>
    </row>
    <row r="219" spans="6:17" ht="25.15" customHeight="1">
      <c r="F219" s="453"/>
      <c r="G219" s="443"/>
      <c r="H219" s="443"/>
      <c r="I219" s="443"/>
      <c r="J219" s="443"/>
      <c r="K219" s="443"/>
      <c r="L219" s="443"/>
      <c r="M219" s="443"/>
      <c r="N219" s="443"/>
      <c r="O219" s="443"/>
      <c r="P219" s="443"/>
      <c r="Q219" s="443"/>
    </row>
    <row r="220" spans="6:17" ht="25.15" customHeight="1">
      <c r="F220" s="453"/>
      <c r="G220" s="443"/>
      <c r="H220" s="443"/>
      <c r="I220" s="443"/>
      <c r="J220" s="443"/>
      <c r="K220" s="443"/>
      <c r="L220" s="443"/>
      <c r="M220" s="443"/>
      <c r="N220" s="443"/>
      <c r="O220" s="443"/>
      <c r="P220" s="443"/>
      <c r="Q220" s="443"/>
    </row>
    <row r="221" spans="6:17" ht="25.15" customHeight="1">
      <c r="F221" s="453"/>
      <c r="G221" s="443"/>
      <c r="H221" s="443"/>
      <c r="I221" s="443"/>
      <c r="J221" s="443"/>
      <c r="K221" s="443"/>
      <c r="L221" s="443"/>
      <c r="M221" s="443"/>
      <c r="N221" s="443"/>
      <c r="O221" s="443"/>
      <c r="P221" s="443"/>
      <c r="Q221" s="443"/>
    </row>
    <row r="222" spans="6:17" ht="25.15" customHeight="1">
      <c r="F222" s="453"/>
      <c r="G222" s="443"/>
      <c r="H222" s="443"/>
      <c r="I222" s="443"/>
      <c r="J222" s="443"/>
      <c r="K222" s="443"/>
      <c r="L222" s="443"/>
      <c r="M222" s="443"/>
      <c r="N222" s="443"/>
      <c r="O222" s="443"/>
      <c r="P222" s="443"/>
      <c r="Q222" s="443"/>
    </row>
    <row r="223" spans="6:17" ht="25.15" customHeight="1">
      <c r="F223" s="453"/>
      <c r="G223" s="443"/>
      <c r="H223" s="443"/>
      <c r="I223" s="443"/>
      <c r="J223" s="443"/>
      <c r="K223" s="443"/>
      <c r="L223" s="443"/>
      <c r="M223" s="443"/>
      <c r="N223" s="443"/>
      <c r="O223" s="443"/>
      <c r="P223" s="443"/>
      <c r="Q223" s="443"/>
    </row>
    <row r="224" spans="6:17" ht="25.15" customHeight="1">
      <c r="F224" s="453"/>
      <c r="G224" s="443"/>
      <c r="H224" s="443"/>
      <c r="I224" s="443"/>
      <c r="J224" s="443"/>
      <c r="K224" s="443"/>
      <c r="L224" s="443"/>
      <c r="M224" s="443"/>
      <c r="N224" s="443"/>
      <c r="O224" s="443"/>
      <c r="P224" s="443"/>
      <c r="Q224" s="443"/>
    </row>
    <row r="225" spans="6:17" ht="25.15" customHeight="1">
      <c r="F225" s="453"/>
      <c r="G225" s="443"/>
      <c r="H225" s="443"/>
      <c r="I225" s="443"/>
      <c r="J225" s="443"/>
      <c r="K225" s="443"/>
      <c r="L225" s="443"/>
      <c r="M225" s="443"/>
      <c r="N225" s="443"/>
      <c r="O225" s="443"/>
      <c r="P225" s="443"/>
      <c r="Q225" s="443"/>
    </row>
    <row r="226" spans="6:17" ht="25.15" customHeight="1">
      <c r="F226" s="453"/>
      <c r="G226" s="443"/>
      <c r="H226" s="443"/>
      <c r="I226" s="443"/>
      <c r="J226" s="443"/>
      <c r="K226" s="443"/>
      <c r="L226" s="443"/>
      <c r="M226" s="443"/>
      <c r="N226" s="443"/>
      <c r="O226" s="443"/>
      <c r="P226" s="443"/>
      <c r="Q226" s="443"/>
    </row>
    <row r="227" spans="6:17" ht="25.15" customHeight="1">
      <c r="F227" s="453"/>
      <c r="G227" s="443"/>
      <c r="H227" s="443"/>
      <c r="I227" s="443"/>
      <c r="J227" s="443"/>
      <c r="K227" s="443"/>
      <c r="L227" s="443"/>
      <c r="M227" s="443"/>
      <c r="N227" s="443"/>
      <c r="O227" s="443"/>
      <c r="P227" s="443"/>
      <c r="Q227" s="443"/>
    </row>
    <row r="228" spans="6:17" ht="25.15" customHeight="1">
      <c r="F228" s="453"/>
      <c r="G228" s="443"/>
      <c r="H228" s="443"/>
      <c r="I228" s="443"/>
      <c r="J228" s="443"/>
      <c r="K228" s="443"/>
      <c r="L228" s="443"/>
      <c r="M228" s="443"/>
      <c r="N228" s="443"/>
      <c r="O228" s="443"/>
      <c r="P228" s="443"/>
      <c r="Q228" s="443"/>
    </row>
    <row r="229" spans="6:17" ht="25.15" customHeight="1">
      <c r="F229" s="453"/>
      <c r="G229" s="443"/>
      <c r="H229" s="443"/>
      <c r="I229" s="443"/>
      <c r="J229" s="443"/>
      <c r="K229" s="443"/>
      <c r="L229" s="443"/>
      <c r="M229" s="443"/>
      <c r="N229" s="443"/>
      <c r="O229" s="443"/>
      <c r="P229" s="443"/>
      <c r="Q229" s="443"/>
    </row>
    <row r="230" spans="6:17" ht="25.15" customHeight="1">
      <c r="F230" s="453"/>
      <c r="G230" s="443"/>
      <c r="H230" s="443"/>
      <c r="I230" s="443"/>
      <c r="J230" s="443"/>
      <c r="K230" s="443"/>
      <c r="L230" s="443"/>
      <c r="M230" s="443"/>
      <c r="N230" s="443"/>
      <c r="O230" s="443"/>
      <c r="P230" s="443"/>
      <c r="Q230" s="443"/>
    </row>
    <row r="231" spans="6:17" ht="25.15" customHeight="1">
      <c r="F231" s="453"/>
      <c r="G231" s="443"/>
      <c r="H231" s="443"/>
      <c r="I231" s="443"/>
      <c r="J231" s="443"/>
      <c r="K231" s="443"/>
      <c r="L231" s="443"/>
      <c r="M231" s="443"/>
      <c r="N231" s="443"/>
      <c r="O231" s="443"/>
      <c r="P231" s="443"/>
      <c r="Q231" s="443"/>
    </row>
    <row r="232" spans="6:17" ht="25.15" customHeight="1">
      <c r="F232" s="453"/>
      <c r="G232" s="443"/>
      <c r="H232" s="443"/>
      <c r="I232" s="443"/>
      <c r="J232" s="443"/>
      <c r="K232" s="443"/>
      <c r="L232" s="443"/>
      <c r="M232" s="443"/>
      <c r="N232" s="443"/>
      <c r="O232" s="443"/>
      <c r="P232" s="443"/>
      <c r="Q232" s="443"/>
    </row>
    <row r="233" spans="6:17" ht="25.15" customHeight="1">
      <c r="F233" s="453"/>
      <c r="G233" s="443"/>
      <c r="H233" s="443"/>
      <c r="I233" s="443"/>
      <c r="J233" s="443"/>
      <c r="K233" s="443"/>
      <c r="L233" s="443"/>
      <c r="M233" s="443"/>
      <c r="N233" s="443"/>
      <c r="O233" s="443"/>
      <c r="P233" s="443"/>
      <c r="Q233" s="443"/>
    </row>
    <row r="234" spans="6:17" ht="25.15" customHeight="1">
      <c r="F234" s="453"/>
      <c r="G234" s="443"/>
      <c r="H234" s="443"/>
      <c r="I234" s="443"/>
      <c r="J234" s="443"/>
      <c r="K234" s="443"/>
      <c r="L234" s="443"/>
      <c r="M234" s="443"/>
      <c r="N234" s="443"/>
      <c r="O234" s="443"/>
      <c r="P234" s="443"/>
      <c r="Q234" s="443"/>
    </row>
    <row r="235" spans="6:17" ht="25.15" customHeight="1">
      <c r="F235" s="453"/>
      <c r="G235" s="443"/>
      <c r="H235" s="443"/>
      <c r="I235" s="443"/>
      <c r="J235" s="443"/>
      <c r="K235" s="443"/>
      <c r="L235" s="443"/>
      <c r="M235" s="443"/>
      <c r="N235" s="443"/>
      <c r="O235" s="443"/>
      <c r="P235" s="443"/>
      <c r="Q235" s="443"/>
    </row>
    <row r="236" spans="6:17" ht="25.15" customHeight="1">
      <c r="F236" s="453"/>
      <c r="G236" s="443"/>
      <c r="H236" s="443"/>
      <c r="I236" s="443"/>
      <c r="J236" s="443"/>
      <c r="K236" s="443"/>
      <c r="L236" s="443"/>
      <c r="M236" s="443"/>
      <c r="N236" s="443"/>
      <c r="O236" s="443"/>
      <c r="P236" s="443"/>
      <c r="Q236" s="443"/>
    </row>
    <row r="237" spans="6:17" ht="25.15" customHeight="1">
      <c r="F237" s="453"/>
      <c r="G237" s="443"/>
      <c r="H237" s="443"/>
      <c r="I237" s="443"/>
      <c r="J237" s="443"/>
      <c r="K237" s="443"/>
      <c r="L237" s="443"/>
      <c r="M237" s="443"/>
      <c r="N237" s="443"/>
      <c r="O237" s="443"/>
      <c r="P237" s="443"/>
      <c r="Q237" s="443"/>
    </row>
    <row r="238" spans="6:17" ht="25.15" customHeight="1">
      <c r="F238" s="453"/>
      <c r="G238" s="443"/>
      <c r="H238" s="443"/>
      <c r="I238" s="443"/>
      <c r="J238" s="443"/>
      <c r="K238" s="443"/>
      <c r="L238" s="443"/>
      <c r="M238" s="443"/>
      <c r="N238" s="443"/>
      <c r="O238" s="443"/>
      <c r="P238" s="443"/>
      <c r="Q238" s="443"/>
    </row>
    <row r="239" spans="6:17" ht="25.15" customHeight="1">
      <c r="F239" s="453"/>
      <c r="G239" s="443"/>
      <c r="H239" s="443"/>
      <c r="I239" s="443"/>
      <c r="J239" s="443"/>
      <c r="K239" s="443"/>
      <c r="L239" s="443"/>
      <c r="M239" s="443"/>
      <c r="N239" s="443"/>
      <c r="O239" s="443"/>
      <c r="P239" s="443"/>
      <c r="Q239" s="443"/>
    </row>
    <row r="240" spans="6:17" ht="25.15" customHeight="1">
      <c r="F240" s="453"/>
      <c r="G240" s="443"/>
      <c r="H240" s="443"/>
      <c r="I240" s="443"/>
      <c r="J240" s="443"/>
      <c r="K240" s="443"/>
      <c r="L240" s="443"/>
      <c r="M240" s="443"/>
      <c r="N240" s="443"/>
      <c r="O240" s="443"/>
      <c r="P240" s="443"/>
      <c r="Q240" s="443"/>
    </row>
    <row r="241" spans="6:17" ht="25.15" customHeight="1">
      <c r="F241" s="453"/>
      <c r="G241" s="443"/>
      <c r="H241" s="443"/>
      <c r="I241" s="443"/>
      <c r="J241" s="443"/>
      <c r="K241" s="443"/>
      <c r="L241" s="443"/>
      <c r="M241" s="443"/>
      <c r="N241" s="443"/>
      <c r="O241" s="443"/>
      <c r="P241" s="443"/>
      <c r="Q241" s="443"/>
    </row>
    <row r="242" spans="6:17" ht="25.15" customHeight="1">
      <c r="F242" s="453"/>
      <c r="G242" s="443"/>
      <c r="H242" s="443"/>
      <c r="I242" s="443"/>
      <c r="J242" s="443"/>
      <c r="K242" s="443"/>
      <c r="L242" s="443"/>
      <c r="M242" s="443"/>
      <c r="N242" s="443"/>
      <c r="O242" s="443"/>
      <c r="P242" s="443"/>
      <c r="Q242" s="443"/>
    </row>
    <row r="243" spans="6:17" ht="25.15" customHeight="1">
      <c r="F243" s="453"/>
      <c r="G243" s="443"/>
      <c r="H243" s="443"/>
      <c r="I243" s="443"/>
      <c r="J243" s="443"/>
      <c r="K243" s="443"/>
      <c r="L243" s="443"/>
      <c r="M243" s="443"/>
      <c r="N243" s="443"/>
      <c r="O243" s="443"/>
      <c r="P243" s="443"/>
      <c r="Q243" s="443"/>
    </row>
    <row r="244" spans="6:17" ht="25.15" customHeight="1">
      <c r="F244" s="453"/>
      <c r="G244" s="443"/>
      <c r="H244" s="443"/>
      <c r="I244" s="443"/>
      <c r="J244" s="443"/>
      <c r="K244" s="443"/>
      <c r="L244" s="443"/>
      <c r="M244" s="443"/>
      <c r="N244" s="443"/>
      <c r="O244" s="443"/>
      <c r="P244" s="443"/>
      <c r="Q244" s="443"/>
    </row>
    <row r="245" spans="6:17" ht="25.15" customHeight="1">
      <c r="F245" s="453"/>
      <c r="G245" s="443"/>
      <c r="H245" s="443"/>
      <c r="I245" s="443"/>
      <c r="J245" s="443"/>
      <c r="K245" s="443"/>
      <c r="L245" s="443"/>
      <c r="M245" s="443"/>
      <c r="N245" s="443"/>
      <c r="O245" s="443"/>
      <c r="P245" s="443"/>
      <c r="Q245" s="443"/>
    </row>
    <row r="246" spans="6:17" ht="25.15" customHeight="1">
      <c r="F246" s="453"/>
      <c r="G246" s="443"/>
      <c r="H246" s="443"/>
      <c r="I246" s="443"/>
      <c r="J246" s="443"/>
      <c r="K246" s="443"/>
      <c r="L246" s="443"/>
      <c r="M246" s="443"/>
      <c r="N246" s="443"/>
      <c r="O246" s="443"/>
      <c r="P246" s="443"/>
      <c r="Q246" s="443"/>
    </row>
    <row r="247" spans="6:17" ht="25.15" customHeight="1">
      <c r="F247" s="453"/>
      <c r="G247" s="443"/>
      <c r="H247" s="443"/>
      <c r="I247" s="443"/>
      <c r="J247" s="443"/>
      <c r="K247" s="443"/>
      <c r="L247" s="443"/>
      <c r="M247" s="443"/>
      <c r="N247" s="443"/>
      <c r="O247" s="443"/>
      <c r="P247" s="443"/>
      <c r="Q247" s="443"/>
    </row>
    <row r="248" spans="6:17" ht="25.15" customHeight="1">
      <c r="F248" s="453"/>
      <c r="G248" s="443"/>
      <c r="H248" s="443"/>
      <c r="I248" s="443"/>
      <c r="J248" s="443"/>
      <c r="K248" s="443"/>
      <c r="L248" s="443"/>
      <c r="M248" s="443"/>
      <c r="N248" s="443"/>
      <c r="O248" s="443"/>
      <c r="P248" s="443"/>
      <c r="Q248" s="443"/>
    </row>
    <row r="249" spans="6:17" ht="25.15" customHeight="1">
      <c r="F249" s="453"/>
      <c r="G249" s="443"/>
      <c r="H249" s="443"/>
      <c r="I249" s="443"/>
      <c r="J249" s="443"/>
      <c r="K249" s="443"/>
      <c r="L249" s="443"/>
      <c r="M249" s="443"/>
      <c r="N249" s="443"/>
      <c r="O249" s="443"/>
      <c r="P249" s="443"/>
      <c r="Q249" s="443"/>
    </row>
    <row r="250" spans="6:17" ht="25.15" customHeight="1">
      <c r="F250" s="453"/>
      <c r="G250" s="443"/>
      <c r="H250" s="443"/>
      <c r="I250" s="443"/>
      <c r="J250" s="443"/>
      <c r="K250" s="443"/>
      <c r="L250" s="443"/>
      <c r="M250" s="443"/>
      <c r="N250" s="443"/>
      <c r="O250" s="443"/>
      <c r="P250" s="443"/>
      <c r="Q250" s="443"/>
    </row>
    <row r="251" spans="6:17" ht="25.15" customHeight="1">
      <c r="F251" s="453"/>
      <c r="G251" s="443"/>
      <c r="H251" s="443"/>
      <c r="I251" s="443"/>
      <c r="J251" s="443"/>
      <c r="K251" s="443"/>
      <c r="L251" s="443"/>
      <c r="M251" s="443"/>
      <c r="N251" s="443"/>
      <c r="O251" s="443"/>
      <c r="P251" s="443"/>
      <c r="Q251" s="443"/>
    </row>
    <row r="252" spans="6:17" ht="25.15" customHeight="1">
      <c r="F252" s="453"/>
      <c r="G252" s="443"/>
      <c r="H252" s="443"/>
      <c r="I252" s="443"/>
      <c r="J252" s="443"/>
      <c r="K252" s="443"/>
      <c r="L252" s="443"/>
      <c r="M252" s="443"/>
      <c r="N252" s="443"/>
      <c r="O252" s="443"/>
      <c r="P252" s="443"/>
      <c r="Q252" s="443"/>
    </row>
    <row r="253" spans="6:17" ht="25.15" customHeight="1">
      <c r="F253" s="453"/>
      <c r="G253" s="443"/>
      <c r="H253" s="443"/>
      <c r="I253" s="443"/>
      <c r="J253" s="443"/>
      <c r="K253" s="443"/>
      <c r="L253" s="443"/>
      <c r="M253" s="443"/>
      <c r="N253" s="443"/>
      <c r="O253" s="443"/>
      <c r="P253" s="443"/>
      <c r="Q253" s="443"/>
    </row>
    <row r="254" spans="6:17" ht="25.15" customHeight="1">
      <c r="F254" s="453"/>
      <c r="G254" s="443"/>
      <c r="H254" s="443"/>
      <c r="I254" s="443"/>
      <c r="J254" s="443"/>
      <c r="K254" s="443"/>
      <c r="L254" s="443"/>
      <c r="M254" s="443"/>
      <c r="N254" s="443"/>
      <c r="O254" s="443"/>
      <c r="P254" s="443"/>
      <c r="Q254" s="443"/>
    </row>
    <row r="255" spans="6:17" ht="25.15" customHeight="1">
      <c r="F255" s="453"/>
      <c r="G255" s="443"/>
      <c r="H255" s="443"/>
      <c r="I255" s="443"/>
      <c r="J255" s="443"/>
      <c r="K255" s="443"/>
      <c r="L255" s="443"/>
      <c r="M255" s="443"/>
      <c r="N255" s="443"/>
      <c r="O255" s="443"/>
      <c r="P255" s="443"/>
      <c r="Q255" s="443"/>
    </row>
    <row r="256" spans="6:17" ht="25.15" customHeight="1">
      <c r="F256" s="453"/>
      <c r="G256" s="443"/>
      <c r="H256" s="443"/>
      <c r="I256" s="443"/>
      <c r="J256" s="443"/>
      <c r="K256" s="443"/>
      <c r="L256" s="443"/>
      <c r="M256" s="443"/>
      <c r="N256" s="443"/>
      <c r="O256" s="443"/>
      <c r="P256" s="443"/>
      <c r="Q256" s="443"/>
    </row>
    <row r="257" spans="6:17" ht="25.15" customHeight="1">
      <c r="F257" s="453"/>
      <c r="G257" s="443"/>
      <c r="H257" s="443"/>
      <c r="I257" s="443"/>
      <c r="J257" s="443"/>
      <c r="K257" s="443"/>
      <c r="L257" s="443"/>
      <c r="M257" s="443"/>
      <c r="N257" s="443"/>
      <c r="O257" s="443"/>
      <c r="P257" s="443"/>
      <c r="Q257" s="443"/>
    </row>
    <row r="258" spans="6:17" ht="25.15" customHeight="1">
      <c r="F258" s="453"/>
      <c r="G258" s="443"/>
      <c r="H258" s="443"/>
      <c r="I258" s="443"/>
      <c r="J258" s="443"/>
      <c r="K258" s="443"/>
      <c r="L258" s="443"/>
      <c r="M258" s="443"/>
      <c r="N258" s="443"/>
      <c r="O258" s="443"/>
      <c r="P258" s="443"/>
      <c r="Q258" s="443"/>
    </row>
    <row r="259" spans="6:17" ht="25.15" customHeight="1">
      <c r="F259" s="453"/>
      <c r="G259" s="443"/>
      <c r="H259" s="443"/>
      <c r="I259" s="443"/>
      <c r="J259" s="443"/>
      <c r="K259" s="443"/>
      <c r="L259" s="443"/>
      <c r="M259" s="443"/>
      <c r="N259" s="443"/>
      <c r="O259" s="443"/>
      <c r="P259" s="443"/>
      <c r="Q259" s="443"/>
    </row>
    <row r="260" spans="6:17" ht="25.15" customHeight="1">
      <c r="F260" s="453"/>
      <c r="G260" s="443"/>
      <c r="H260" s="443"/>
      <c r="I260" s="443"/>
      <c r="J260" s="443"/>
      <c r="K260" s="443"/>
      <c r="L260" s="443"/>
      <c r="M260" s="443"/>
      <c r="N260" s="443"/>
      <c r="O260" s="443"/>
      <c r="P260" s="443"/>
      <c r="Q260" s="443"/>
    </row>
    <row r="261" spans="6:17" ht="25.15" customHeight="1">
      <c r="F261" s="453"/>
      <c r="G261" s="443"/>
      <c r="H261" s="443"/>
      <c r="I261" s="443"/>
      <c r="J261" s="443"/>
      <c r="K261" s="443"/>
      <c r="L261" s="443"/>
      <c r="M261" s="443"/>
      <c r="N261" s="443"/>
      <c r="O261" s="443"/>
      <c r="P261" s="443"/>
      <c r="Q261" s="443"/>
    </row>
    <row r="262" spans="6:17" ht="25.15" customHeight="1">
      <c r="F262" s="453"/>
      <c r="G262" s="443"/>
      <c r="H262" s="443"/>
      <c r="I262" s="443"/>
      <c r="J262" s="443"/>
      <c r="K262" s="443"/>
      <c r="L262" s="443"/>
      <c r="M262" s="443"/>
      <c r="N262" s="443"/>
      <c r="O262" s="443"/>
      <c r="P262" s="443"/>
      <c r="Q262" s="443"/>
    </row>
    <row r="263" spans="6:17" ht="25.15" customHeight="1">
      <c r="F263" s="453"/>
      <c r="G263" s="443"/>
      <c r="H263" s="443"/>
      <c r="I263" s="443"/>
      <c r="J263" s="443"/>
      <c r="K263" s="443"/>
      <c r="L263" s="443"/>
      <c r="M263" s="443"/>
      <c r="N263" s="443"/>
      <c r="O263" s="443"/>
      <c r="P263" s="443"/>
      <c r="Q263" s="443"/>
    </row>
    <row r="264" spans="6:17" ht="25.15" customHeight="1">
      <c r="F264" s="453"/>
      <c r="G264" s="443"/>
      <c r="H264" s="443"/>
      <c r="I264" s="443"/>
      <c r="J264" s="443"/>
      <c r="K264" s="443"/>
      <c r="L264" s="443"/>
      <c r="M264" s="443"/>
      <c r="N264" s="443"/>
      <c r="O264" s="443"/>
      <c r="P264" s="443"/>
      <c r="Q264" s="443"/>
    </row>
    <row r="265" spans="6:17" ht="25.15" customHeight="1">
      <c r="F265" s="453"/>
      <c r="G265" s="443"/>
      <c r="H265" s="443"/>
      <c r="I265" s="443"/>
      <c r="J265" s="443"/>
      <c r="K265" s="443"/>
      <c r="L265" s="443"/>
      <c r="M265" s="443"/>
      <c r="N265" s="443"/>
      <c r="O265" s="443"/>
      <c r="P265" s="443"/>
      <c r="Q265" s="443"/>
    </row>
    <row r="266" spans="6:17" ht="25.15" customHeight="1">
      <c r="F266" s="453"/>
      <c r="G266" s="443"/>
      <c r="H266" s="443"/>
      <c r="I266" s="443"/>
      <c r="J266" s="443"/>
      <c r="K266" s="443"/>
      <c r="L266" s="443"/>
      <c r="M266" s="443"/>
      <c r="N266" s="443"/>
      <c r="O266" s="443"/>
      <c r="P266" s="443"/>
      <c r="Q266" s="443"/>
    </row>
    <row r="267" spans="6:17" ht="25.15" customHeight="1">
      <c r="F267" s="453"/>
      <c r="G267" s="443"/>
      <c r="H267" s="443"/>
      <c r="I267" s="443"/>
      <c r="J267" s="443"/>
      <c r="K267" s="443"/>
      <c r="L267" s="443"/>
      <c r="M267" s="443"/>
      <c r="N267" s="443"/>
      <c r="O267" s="443"/>
      <c r="P267" s="443"/>
      <c r="Q267" s="443"/>
    </row>
    <row r="268" spans="6:17" ht="25.15" customHeight="1">
      <c r="F268" s="453"/>
      <c r="G268" s="443"/>
      <c r="H268" s="443"/>
      <c r="I268" s="443"/>
      <c r="J268" s="443"/>
      <c r="K268" s="443"/>
      <c r="L268" s="443"/>
      <c r="M268" s="443"/>
      <c r="N268" s="443"/>
      <c r="O268" s="443"/>
      <c r="P268" s="443"/>
      <c r="Q268" s="443"/>
    </row>
    <row r="269" spans="6:17" ht="25.15" customHeight="1">
      <c r="F269" s="453"/>
      <c r="G269" s="443"/>
      <c r="H269" s="443"/>
      <c r="I269" s="443"/>
      <c r="J269" s="443"/>
      <c r="K269" s="443"/>
      <c r="L269" s="443"/>
      <c r="M269" s="443"/>
      <c r="N269" s="443"/>
      <c r="O269" s="443"/>
      <c r="P269" s="443"/>
      <c r="Q269" s="443"/>
    </row>
    <row r="270" spans="6:17" ht="25.15" customHeight="1">
      <c r="F270" s="453"/>
      <c r="G270" s="443"/>
      <c r="H270" s="443"/>
      <c r="I270" s="443"/>
      <c r="J270" s="443"/>
      <c r="K270" s="443"/>
      <c r="L270" s="443"/>
      <c r="M270" s="443"/>
      <c r="N270" s="443"/>
      <c r="O270" s="443"/>
      <c r="P270" s="443"/>
      <c r="Q270" s="443"/>
    </row>
    <row r="271" spans="6:17" ht="25.15" customHeight="1">
      <c r="F271" s="453"/>
      <c r="G271" s="443"/>
      <c r="H271" s="443"/>
      <c r="I271" s="443"/>
      <c r="J271" s="443"/>
      <c r="K271" s="443"/>
      <c r="L271" s="443"/>
      <c r="M271" s="443"/>
      <c r="N271" s="443"/>
      <c r="O271" s="443"/>
      <c r="P271" s="443"/>
      <c r="Q271" s="443"/>
    </row>
    <row r="272" spans="6:17" ht="25.15" customHeight="1">
      <c r="F272" s="453"/>
      <c r="G272" s="443"/>
      <c r="H272" s="443"/>
      <c r="I272" s="443"/>
      <c r="J272" s="443"/>
      <c r="K272" s="443"/>
      <c r="L272" s="443"/>
      <c r="M272" s="443"/>
      <c r="N272" s="443"/>
      <c r="O272" s="443"/>
      <c r="P272" s="443"/>
      <c r="Q272" s="443"/>
    </row>
    <row r="273" spans="6:17" ht="25.15" customHeight="1">
      <c r="F273" s="453"/>
      <c r="G273" s="443"/>
      <c r="H273" s="443"/>
      <c r="I273" s="443"/>
      <c r="J273" s="443"/>
      <c r="K273" s="443"/>
      <c r="L273" s="443"/>
      <c r="M273" s="443"/>
      <c r="N273" s="443"/>
      <c r="O273" s="443"/>
      <c r="P273" s="443"/>
      <c r="Q273" s="443"/>
    </row>
    <row r="274" spans="6:17" ht="25.15" customHeight="1">
      <c r="F274" s="453"/>
      <c r="G274" s="443"/>
      <c r="H274" s="443"/>
      <c r="I274" s="443"/>
      <c r="J274" s="443"/>
      <c r="K274" s="443"/>
      <c r="L274" s="443"/>
      <c r="M274" s="443"/>
      <c r="N274" s="443"/>
      <c r="O274" s="443"/>
      <c r="P274" s="443"/>
      <c r="Q274" s="443"/>
    </row>
    <row r="275" spans="6:17" ht="25.15" customHeight="1">
      <c r="F275" s="453"/>
      <c r="G275" s="443"/>
      <c r="H275" s="443"/>
      <c r="I275" s="443"/>
      <c r="J275" s="443"/>
      <c r="K275" s="443"/>
      <c r="L275" s="443"/>
      <c r="M275" s="443"/>
      <c r="N275" s="443"/>
      <c r="O275" s="443"/>
      <c r="P275" s="443"/>
      <c r="Q275" s="443"/>
    </row>
    <row r="276" spans="6:17" ht="25.15" customHeight="1">
      <c r="F276" s="453"/>
      <c r="G276" s="443"/>
      <c r="H276" s="443"/>
      <c r="I276" s="443"/>
      <c r="J276" s="443"/>
      <c r="K276" s="443"/>
      <c r="L276" s="443"/>
      <c r="M276" s="443"/>
      <c r="N276" s="443"/>
      <c r="O276" s="443"/>
      <c r="P276" s="443"/>
      <c r="Q276" s="443"/>
    </row>
    <row r="277" spans="6:17" ht="25.15" customHeight="1">
      <c r="F277" s="453"/>
      <c r="G277" s="443"/>
      <c r="H277" s="443"/>
      <c r="I277" s="443"/>
      <c r="J277" s="443"/>
      <c r="K277" s="443"/>
      <c r="L277" s="443"/>
      <c r="M277" s="443"/>
      <c r="N277" s="443"/>
      <c r="O277" s="443"/>
      <c r="P277" s="443"/>
      <c r="Q277" s="443"/>
    </row>
    <row r="278" spans="6:17" ht="25.15" customHeight="1">
      <c r="F278" s="453"/>
      <c r="G278" s="443"/>
      <c r="H278" s="443"/>
      <c r="I278" s="443"/>
      <c r="J278" s="443"/>
      <c r="K278" s="443"/>
      <c r="L278" s="443"/>
      <c r="M278" s="443"/>
      <c r="N278" s="443"/>
      <c r="O278" s="443"/>
      <c r="P278" s="443"/>
      <c r="Q278" s="443"/>
    </row>
    <row r="279" spans="6:17" ht="25.15" customHeight="1">
      <c r="F279" s="453"/>
      <c r="G279" s="443"/>
      <c r="H279" s="443"/>
      <c r="I279" s="443"/>
      <c r="J279" s="443"/>
      <c r="K279" s="443"/>
      <c r="L279" s="443"/>
      <c r="M279" s="443"/>
      <c r="N279" s="443"/>
      <c r="O279" s="443"/>
      <c r="P279" s="443"/>
      <c r="Q279" s="443"/>
    </row>
    <row r="280" spans="6:17" ht="25.15" customHeight="1">
      <c r="F280" s="453"/>
      <c r="G280" s="443"/>
      <c r="H280" s="443"/>
      <c r="I280" s="443"/>
      <c r="J280" s="443"/>
      <c r="K280" s="443"/>
      <c r="L280" s="443"/>
      <c r="M280" s="443"/>
      <c r="N280" s="443"/>
      <c r="O280" s="443"/>
      <c r="P280" s="443"/>
      <c r="Q280" s="443"/>
    </row>
    <row r="281" spans="6:17" ht="25.15" customHeight="1">
      <c r="F281" s="453"/>
      <c r="G281" s="443"/>
      <c r="H281" s="443"/>
      <c r="I281" s="443"/>
      <c r="J281" s="443"/>
      <c r="K281" s="443"/>
      <c r="L281" s="443"/>
      <c r="M281" s="443"/>
      <c r="N281" s="443"/>
      <c r="O281" s="443"/>
      <c r="P281" s="443"/>
      <c r="Q281" s="443"/>
    </row>
    <row r="282" spans="6:17" ht="25.15" customHeight="1">
      <c r="F282" s="453"/>
      <c r="G282" s="443"/>
      <c r="H282" s="443"/>
      <c r="I282" s="443"/>
      <c r="J282" s="443"/>
      <c r="K282" s="443"/>
      <c r="L282" s="443"/>
      <c r="M282" s="443"/>
      <c r="N282" s="443"/>
      <c r="O282" s="443"/>
      <c r="P282" s="443"/>
      <c r="Q282" s="443"/>
    </row>
    <row r="283" spans="6:17" ht="25.15" customHeight="1">
      <c r="F283" s="453"/>
      <c r="G283" s="443"/>
      <c r="H283" s="443"/>
      <c r="I283" s="443"/>
      <c r="J283" s="443"/>
      <c r="K283" s="443"/>
      <c r="L283" s="443"/>
      <c r="M283" s="443"/>
      <c r="N283" s="443"/>
      <c r="O283" s="443"/>
      <c r="P283" s="443"/>
      <c r="Q283" s="443"/>
    </row>
    <row r="284" spans="6:17" ht="25.15" customHeight="1">
      <c r="F284" s="453"/>
      <c r="G284" s="443"/>
      <c r="H284" s="443"/>
      <c r="I284" s="443"/>
      <c r="J284" s="443"/>
      <c r="K284" s="443"/>
      <c r="L284" s="443"/>
      <c r="M284" s="443"/>
      <c r="N284" s="443"/>
      <c r="O284" s="443"/>
      <c r="P284" s="443"/>
      <c r="Q284" s="443"/>
    </row>
    <row r="285" spans="6:17" ht="25.15" customHeight="1">
      <c r="F285" s="453"/>
      <c r="G285" s="443"/>
      <c r="H285" s="443"/>
      <c r="I285" s="443"/>
      <c r="J285" s="443"/>
      <c r="K285" s="443"/>
      <c r="L285" s="443"/>
      <c r="M285" s="443"/>
      <c r="N285" s="443"/>
      <c r="O285" s="443"/>
      <c r="P285" s="443"/>
      <c r="Q285" s="443"/>
    </row>
    <row r="286" spans="6:17" ht="25.15" customHeight="1">
      <c r="F286" s="453"/>
      <c r="G286" s="443"/>
      <c r="H286" s="443"/>
      <c r="I286" s="443"/>
      <c r="J286" s="443"/>
      <c r="K286" s="443"/>
      <c r="L286" s="443"/>
      <c r="M286" s="443"/>
      <c r="N286" s="443"/>
      <c r="O286" s="443"/>
      <c r="P286" s="443"/>
      <c r="Q286" s="443"/>
    </row>
    <row r="287" spans="6:17" ht="25.15" customHeight="1">
      <c r="F287" s="453"/>
      <c r="G287" s="443"/>
      <c r="H287" s="443"/>
      <c r="I287" s="443"/>
      <c r="J287" s="443"/>
      <c r="K287" s="443"/>
      <c r="L287" s="443"/>
      <c r="M287" s="443"/>
      <c r="N287" s="443"/>
      <c r="O287" s="443"/>
      <c r="P287" s="443"/>
      <c r="Q287" s="443"/>
    </row>
    <row r="288" spans="6:17" ht="25.15" customHeight="1">
      <c r="F288" s="453"/>
      <c r="G288" s="443"/>
      <c r="H288" s="443"/>
      <c r="I288" s="443"/>
      <c r="J288" s="443"/>
      <c r="K288" s="443"/>
      <c r="L288" s="443"/>
      <c r="M288" s="443"/>
      <c r="N288" s="443"/>
      <c r="O288" s="443"/>
      <c r="P288" s="443"/>
      <c r="Q288" s="443"/>
    </row>
    <row r="289" spans="6:17" ht="25.15" customHeight="1">
      <c r="F289" s="453"/>
      <c r="G289" s="443"/>
      <c r="H289" s="443"/>
      <c r="I289" s="443"/>
      <c r="J289" s="443"/>
      <c r="K289" s="443"/>
      <c r="L289" s="443"/>
      <c r="M289" s="443"/>
      <c r="N289" s="443"/>
      <c r="O289" s="443"/>
      <c r="P289" s="443"/>
      <c r="Q289" s="443"/>
    </row>
    <row r="290" spans="6:17" ht="25.15" customHeight="1">
      <c r="F290" s="453"/>
      <c r="G290" s="443"/>
      <c r="H290" s="443"/>
      <c r="I290" s="443"/>
      <c r="J290" s="443"/>
      <c r="K290" s="443"/>
      <c r="L290" s="443"/>
      <c r="M290" s="443"/>
      <c r="N290" s="443"/>
      <c r="O290" s="443"/>
      <c r="P290" s="443"/>
      <c r="Q290" s="443"/>
    </row>
    <row r="291" spans="6:17" ht="25.15" customHeight="1">
      <c r="F291" s="453"/>
      <c r="G291" s="443"/>
      <c r="H291" s="443"/>
      <c r="I291" s="443"/>
      <c r="J291" s="443"/>
      <c r="K291" s="443"/>
      <c r="L291" s="443"/>
      <c r="M291" s="443"/>
      <c r="N291" s="443"/>
      <c r="O291" s="443"/>
      <c r="P291" s="443"/>
      <c r="Q291" s="443"/>
    </row>
    <row r="292" spans="6:17" ht="25.15" customHeight="1">
      <c r="F292" s="453"/>
      <c r="G292" s="443"/>
      <c r="H292" s="443"/>
      <c r="I292" s="443"/>
      <c r="J292" s="443"/>
      <c r="K292" s="443"/>
      <c r="L292" s="443"/>
      <c r="M292" s="443"/>
      <c r="N292" s="443"/>
      <c r="O292" s="443"/>
      <c r="P292" s="443"/>
      <c r="Q292" s="443"/>
    </row>
    <row r="293" spans="6:17" ht="25.15" customHeight="1">
      <c r="F293" s="453"/>
      <c r="G293" s="443"/>
      <c r="H293" s="443"/>
      <c r="I293" s="443"/>
      <c r="J293" s="443"/>
      <c r="K293" s="443"/>
      <c r="L293" s="443"/>
      <c r="M293" s="443"/>
      <c r="N293" s="443"/>
      <c r="O293" s="443"/>
      <c r="P293" s="443"/>
      <c r="Q293" s="443"/>
    </row>
    <row r="294" spans="6:17" ht="25.15" customHeight="1">
      <c r="F294" s="453"/>
      <c r="G294" s="443"/>
      <c r="H294" s="443"/>
      <c r="I294" s="443"/>
      <c r="J294" s="443"/>
      <c r="K294" s="443"/>
      <c r="L294" s="443"/>
      <c r="M294" s="443"/>
      <c r="N294" s="443"/>
      <c r="O294" s="443"/>
      <c r="P294" s="443"/>
      <c r="Q294" s="443"/>
    </row>
    <row r="295" spans="6:17" ht="25.15" customHeight="1">
      <c r="F295" s="453"/>
      <c r="G295" s="443"/>
      <c r="H295" s="443"/>
      <c r="I295" s="443"/>
      <c r="J295" s="443"/>
      <c r="K295" s="443"/>
      <c r="L295" s="443"/>
      <c r="M295" s="443"/>
      <c r="N295" s="443"/>
      <c r="O295" s="443"/>
      <c r="P295" s="443"/>
      <c r="Q295" s="443"/>
    </row>
    <row r="296" spans="6:17" ht="25.15" customHeight="1">
      <c r="F296" s="453"/>
      <c r="G296" s="443"/>
      <c r="H296" s="443"/>
      <c r="I296" s="443"/>
      <c r="J296" s="443"/>
      <c r="K296" s="443"/>
      <c r="L296" s="443"/>
      <c r="M296" s="443"/>
      <c r="N296" s="443"/>
      <c r="O296" s="443"/>
      <c r="P296" s="443"/>
      <c r="Q296" s="443"/>
    </row>
    <row r="297" spans="6:17" ht="25.15" customHeight="1">
      <c r="F297" s="453"/>
      <c r="G297" s="443"/>
      <c r="H297" s="443"/>
      <c r="I297" s="443"/>
      <c r="J297" s="443"/>
      <c r="K297" s="443"/>
      <c r="L297" s="443"/>
      <c r="M297" s="443"/>
      <c r="N297" s="443"/>
      <c r="O297" s="443"/>
      <c r="P297" s="443"/>
      <c r="Q297" s="443"/>
    </row>
    <row r="298" spans="6:17" ht="25.15" customHeight="1">
      <c r="F298" s="453"/>
      <c r="G298" s="443"/>
      <c r="H298" s="443"/>
      <c r="I298" s="443"/>
      <c r="J298" s="443"/>
      <c r="K298" s="443"/>
      <c r="L298" s="443"/>
      <c r="M298" s="443"/>
      <c r="N298" s="443"/>
      <c r="O298" s="443"/>
      <c r="P298" s="443"/>
      <c r="Q298" s="443"/>
    </row>
    <row r="299" spans="6:17" ht="25.15" customHeight="1">
      <c r="F299" s="453"/>
      <c r="G299" s="443"/>
      <c r="H299" s="443"/>
      <c r="I299" s="443"/>
      <c r="J299" s="443"/>
      <c r="K299" s="443"/>
      <c r="L299" s="443"/>
      <c r="M299" s="443"/>
      <c r="N299" s="443"/>
      <c r="O299" s="443"/>
      <c r="P299" s="443"/>
      <c r="Q299" s="443"/>
    </row>
    <row r="300" spans="6:17" ht="25.15" customHeight="1">
      <c r="F300" s="453"/>
      <c r="G300" s="443"/>
      <c r="H300" s="443"/>
      <c r="I300" s="443"/>
      <c r="J300" s="443"/>
      <c r="K300" s="443"/>
      <c r="L300" s="443"/>
      <c r="M300" s="443"/>
      <c r="N300" s="443"/>
      <c r="O300" s="443"/>
      <c r="P300" s="443"/>
      <c r="Q300" s="443"/>
    </row>
    <row r="301" spans="6:17" ht="25.15" customHeight="1">
      <c r="F301" s="453"/>
      <c r="G301" s="443"/>
      <c r="H301" s="443"/>
      <c r="I301" s="443"/>
      <c r="J301" s="443"/>
      <c r="K301" s="443"/>
      <c r="L301" s="443"/>
      <c r="M301" s="443"/>
      <c r="N301" s="443"/>
      <c r="O301" s="443"/>
      <c r="P301" s="443"/>
      <c r="Q301" s="443"/>
    </row>
    <row r="302" spans="6:17" ht="25.15" customHeight="1">
      <c r="F302" s="453"/>
      <c r="G302" s="443"/>
      <c r="H302" s="443"/>
      <c r="I302" s="443"/>
      <c r="J302" s="443"/>
      <c r="K302" s="443"/>
      <c r="L302" s="443"/>
      <c r="M302" s="443"/>
      <c r="N302" s="443"/>
      <c r="O302" s="443"/>
      <c r="P302" s="443"/>
      <c r="Q302" s="443"/>
    </row>
    <row r="303" spans="6:17" ht="25.15" customHeight="1">
      <c r="F303" s="453"/>
      <c r="G303" s="443"/>
      <c r="H303" s="443"/>
      <c r="I303" s="443"/>
      <c r="J303" s="443"/>
      <c r="K303" s="443"/>
      <c r="L303" s="443"/>
      <c r="M303" s="443"/>
      <c r="N303" s="443"/>
      <c r="O303" s="443"/>
      <c r="P303" s="443"/>
      <c r="Q303" s="443"/>
    </row>
    <row r="304" spans="6:17" ht="25.15" customHeight="1">
      <c r="F304" s="453"/>
      <c r="G304" s="443"/>
      <c r="H304" s="443"/>
      <c r="I304" s="443"/>
      <c r="J304" s="443"/>
      <c r="K304" s="443"/>
      <c r="L304" s="443"/>
      <c r="M304" s="443"/>
      <c r="N304" s="443"/>
      <c r="O304" s="443"/>
      <c r="P304" s="443"/>
      <c r="Q304" s="443"/>
    </row>
    <row r="305" spans="6:17" ht="25.15" customHeight="1">
      <c r="F305" s="453"/>
      <c r="G305" s="443"/>
      <c r="H305" s="443"/>
      <c r="I305" s="443"/>
      <c r="J305" s="443"/>
      <c r="K305" s="443"/>
      <c r="L305" s="443"/>
      <c r="M305" s="443"/>
      <c r="N305" s="443"/>
      <c r="O305" s="443"/>
      <c r="P305" s="443"/>
      <c r="Q305" s="443"/>
    </row>
    <row r="306" spans="6:17" ht="25.15" customHeight="1">
      <c r="F306" s="453"/>
      <c r="G306" s="443"/>
      <c r="H306" s="443"/>
      <c r="I306" s="443"/>
      <c r="J306" s="443"/>
      <c r="K306" s="443"/>
      <c r="L306" s="443"/>
      <c r="M306" s="443"/>
      <c r="N306" s="443"/>
      <c r="O306" s="443"/>
      <c r="P306" s="443"/>
      <c r="Q306" s="443"/>
    </row>
    <row r="307" spans="6:17" ht="25.15" customHeight="1">
      <c r="F307" s="453"/>
      <c r="G307" s="443"/>
      <c r="H307" s="443"/>
      <c r="I307" s="443"/>
      <c r="J307" s="443"/>
      <c r="K307" s="443"/>
      <c r="L307" s="443"/>
      <c r="M307" s="443"/>
      <c r="N307" s="443"/>
      <c r="O307" s="443"/>
      <c r="P307" s="443"/>
      <c r="Q307" s="443"/>
    </row>
    <row r="308" spans="6:17" ht="25.15" customHeight="1">
      <c r="F308" s="453"/>
      <c r="G308" s="443"/>
      <c r="H308" s="443"/>
      <c r="I308" s="443"/>
      <c r="J308" s="443"/>
      <c r="K308" s="443"/>
      <c r="L308" s="443"/>
      <c r="M308" s="443"/>
      <c r="N308" s="443"/>
      <c r="O308" s="443"/>
      <c r="P308" s="443"/>
      <c r="Q308" s="443"/>
    </row>
    <row r="309" spans="6:17" ht="25.15" customHeight="1">
      <c r="F309" s="453"/>
      <c r="G309" s="443"/>
      <c r="H309" s="443"/>
      <c r="I309" s="443"/>
      <c r="J309" s="443"/>
      <c r="K309" s="443"/>
      <c r="L309" s="443"/>
      <c r="M309" s="443"/>
      <c r="N309" s="443"/>
      <c r="O309" s="443"/>
      <c r="P309" s="443"/>
      <c r="Q309" s="443"/>
    </row>
    <row r="310" spans="6:17" ht="25.15" customHeight="1">
      <c r="F310" s="453"/>
      <c r="G310" s="443"/>
      <c r="H310" s="443"/>
      <c r="I310" s="443"/>
      <c r="J310" s="443"/>
      <c r="K310" s="443"/>
      <c r="L310" s="443"/>
      <c r="M310" s="443"/>
      <c r="N310" s="443"/>
      <c r="O310" s="443"/>
      <c r="P310" s="443"/>
      <c r="Q310" s="443"/>
    </row>
    <row r="311" spans="6:17" ht="25.15" customHeight="1">
      <c r="F311" s="453"/>
      <c r="G311" s="443"/>
      <c r="H311" s="443"/>
      <c r="I311" s="443"/>
      <c r="J311" s="443"/>
      <c r="K311" s="443"/>
      <c r="L311" s="443"/>
      <c r="M311" s="443"/>
      <c r="N311" s="443"/>
      <c r="O311" s="443"/>
      <c r="P311" s="443"/>
      <c r="Q311" s="443"/>
    </row>
    <row r="312" spans="6:17" ht="25.15" customHeight="1">
      <c r="F312" s="453"/>
      <c r="G312" s="443"/>
      <c r="H312" s="443"/>
      <c r="I312" s="443"/>
      <c r="J312" s="443"/>
      <c r="K312" s="443"/>
      <c r="L312" s="443"/>
      <c r="M312" s="443"/>
      <c r="N312" s="443"/>
      <c r="O312" s="443"/>
      <c r="P312" s="443"/>
      <c r="Q312" s="443"/>
    </row>
    <row r="313" spans="6:17" ht="25.15" customHeight="1">
      <c r="F313" s="453"/>
      <c r="G313" s="443"/>
      <c r="H313" s="443"/>
      <c r="I313" s="443"/>
      <c r="J313" s="443"/>
      <c r="K313" s="443"/>
      <c r="L313" s="443"/>
      <c r="M313" s="443"/>
      <c r="N313" s="443"/>
      <c r="O313" s="443"/>
      <c r="P313" s="443"/>
      <c r="Q313" s="443"/>
    </row>
    <row r="314" spans="6:17" ht="25.15" customHeight="1">
      <c r="F314" s="453"/>
      <c r="G314" s="443"/>
      <c r="H314" s="443"/>
      <c r="I314" s="443"/>
      <c r="J314" s="443"/>
      <c r="K314" s="443"/>
      <c r="L314" s="443"/>
      <c r="M314" s="443"/>
      <c r="N314" s="443"/>
      <c r="O314" s="443"/>
      <c r="P314" s="443"/>
      <c r="Q314" s="443"/>
    </row>
    <row r="315" spans="6:17" ht="25.15" customHeight="1">
      <c r="F315" s="453"/>
      <c r="G315" s="443"/>
      <c r="H315" s="443"/>
      <c r="I315" s="443"/>
      <c r="J315" s="443"/>
      <c r="K315" s="443"/>
      <c r="L315" s="443"/>
      <c r="M315" s="443"/>
      <c r="N315" s="443"/>
      <c r="O315" s="443"/>
      <c r="P315" s="443"/>
      <c r="Q315" s="443"/>
    </row>
    <row r="316" spans="6:17" ht="25.15" customHeight="1">
      <c r="F316" s="453"/>
      <c r="G316" s="443"/>
      <c r="H316" s="443"/>
      <c r="I316" s="443"/>
      <c r="J316" s="443"/>
      <c r="K316" s="443"/>
      <c r="L316" s="443"/>
      <c r="M316" s="443"/>
      <c r="N316" s="443"/>
      <c r="O316" s="443"/>
      <c r="P316" s="443"/>
      <c r="Q316" s="443"/>
    </row>
    <row r="317" spans="6:17" ht="25.15" customHeight="1">
      <c r="F317" s="453"/>
      <c r="G317" s="443"/>
      <c r="H317" s="443"/>
      <c r="I317" s="443"/>
      <c r="J317" s="443"/>
      <c r="K317" s="443"/>
      <c r="L317" s="443"/>
      <c r="M317" s="443"/>
      <c r="N317" s="443"/>
      <c r="O317" s="443"/>
      <c r="P317" s="443"/>
      <c r="Q317" s="443"/>
    </row>
    <row r="318" spans="6:17" ht="25.15" customHeight="1">
      <c r="F318" s="453"/>
      <c r="G318" s="443"/>
      <c r="H318" s="443"/>
      <c r="I318" s="443"/>
      <c r="J318" s="443"/>
      <c r="K318" s="443"/>
      <c r="L318" s="443"/>
      <c r="M318" s="443"/>
      <c r="N318" s="443"/>
      <c r="O318" s="443"/>
      <c r="P318" s="443"/>
      <c r="Q318" s="443"/>
    </row>
    <row r="319" spans="6:17" ht="25.15" customHeight="1">
      <c r="F319" s="453"/>
      <c r="G319" s="443"/>
      <c r="H319" s="443"/>
      <c r="I319" s="443"/>
      <c r="J319" s="443"/>
      <c r="K319" s="443"/>
      <c r="L319" s="443"/>
      <c r="M319" s="443"/>
      <c r="N319" s="443"/>
      <c r="O319" s="443"/>
      <c r="P319" s="443"/>
      <c r="Q319" s="443"/>
    </row>
    <row r="320" spans="6:17" ht="25.15" customHeight="1">
      <c r="F320" s="453"/>
      <c r="G320" s="443"/>
      <c r="H320" s="443"/>
      <c r="I320" s="443"/>
      <c r="J320" s="443"/>
      <c r="K320" s="443"/>
      <c r="L320" s="443"/>
      <c r="M320" s="443"/>
      <c r="N320" s="443"/>
      <c r="O320" s="443"/>
      <c r="P320" s="443"/>
      <c r="Q320" s="443"/>
    </row>
    <row r="321" spans="6:17" ht="25.15" customHeight="1">
      <c r="F321" s="453"/>
      <c r="G321" s="443"/>
      <c r="H321" s="443"/>
      <c r="I321" s="443"/>
      <c r="J321" s="443"/>
      <c r="K321" s="443"/>
      <c r="L321" s="443"/>
      <c r="M321" s="443"/>
      <c r="N321" s="443"/>
      <c r="O321" s="443"/>
      <c r="P321" s="443"/>
      <c r="Q321" s="443"/>
    </row>
    <row r="322" spans="6:17" ht="25.15" customHeight="1">
      <c r="F322" s="453"/>
      <c r="G322" s="443"/>
      <c r="H322" s="443"/>
      <c r="I322" s="443"/>
      <c r="J322" s="443"/>
      <c r="K322" s="443"/>
      <c r="L322" s="443"/>
      <c r="M322" s="443"/>
      <c r="N322" s="443"/>
      <c r="O322" s="443"/>
      <c r="P322" s="443"/>
      <c r="Q322" s="443"/>
    </row>
    <row r="323" spans="6:17" ht="25.15" customHeight="1">
      <c r="F323" s="453"/>
      <c r="G323" s="443"/>
      <c r="H323" s="443"/>
      <c r="I323" s="443"/>
      <c r="J323" s="443"/>
      <c r="K323" s="443"/>
      <c r="L323" s="443"/>
      <c r="M323" s="443"/>
      <c r="N323" s="443"/>
      <c r="O323" s="443"/>
      <c r="P323" s="443"/>
      <c r="Q323" s="443"/>
    </row>
    <row r="324" spans="6:17" ht="25.15" customHeight="1">
      <c r="F324" s="453"/>
      <c r="G324" s="443"/>
      <c r="H324" s="443"/>
      <c r="I324" s="443"/>
      <c r="J324" s="443"/>
      <c r="K324" s="443"/>
      <c r="L324" s="443"/>
      <c r="M324" s="443"/>
      <c r="N324" s="443"/>
      <c r="O324" s="443"/>
      <c r="P324" s="443"/>
      <c r="Q324" s="443"/>
    </row>
    <row r="325" spans="6:17" ht="25.15" customHeight="1">
      <c r="F325" s="453"/>
      <c r="G325" s="443"/>
      <c r="H325" s="443"/>
      <c r="I325" s="443"/>
      <c r="J325" s="443"/>
      <c r="K325" s="443"/>
      <c r="L325" s="443"/>
      <c r="M325" s="443"/>
      <c r="N325" s="443"/>
      <c r="O325" s="443"/>
      <c r="P325" s="443"/>
      <c r="Q325" s="443"/>
    </row>
    <row r="326" spans="6:17" ht="25.15" customHeight="1">
      <c r="F326" s="453"/>
      <c r="G326" s="443"/>
      <c r="H326" s="443"/>
      <c r="I326" s="443"/>
      <c r="J326" s="443"/>
      <c r="K326" s="443"/>
      <c r="L326" s="443"/>
      <c r="M326" s="443"/>
      <c r="N326" s="443"/>
      <c r="O326" s="443"/>
      <c r="P326" s="443"/>
      <c r="Q326" s="443"/>
    </row>
    <row r="327" spans="6:17" ht="25.15" customHeight="1">
      <c r="F327" s="453"/>
      <c r="G327" s="443"/>
      <c r="H327" s="443"/>
      <c r="I327" s="443"/>
      <c r="J327" s="443"/>
      <c r="K327" s="443"/>
      <c r="L327" s="443"/>
      <c r="M327" s="443"/>
      <c r="N327" s="443"/>
      <c r="O327" s="443"/>
      <c r="P327" s="443"/>
      <c r="Q327" s="443"/>
    </row>
    <row r="328" spans="6:17" ht="25.15" customHeight="1">
      <c r="F328" s="453"/>
      <c r="G328" s="443"/>
      <c r="H328" s="443"/>
      <c r="I328" s="443"/>
      <c r="J328" s="443"/>
      <c r="K328" s="443"/>
      <c r="L328" s="443"/>
      <c r="M328" s="443"/>
      <c r="N328" s="443"/>
      <c r="O328" s="443"/>
      <c r="P328" s="443"/>
      <c r="Q328" s="443"/>
    </row>
    <row r="329" spans="6:17" ht="25.15" customHeight="1">
      <c r="F329" s="453"/>
      <c r="G329" s="443"/>
      <c r="H329" s="443"/>
      <c r="I329" s="443"/>
      <c r="J329" s="443"/>
      <c r="K329" s="443"/>
      <c r="L329" s="443"/>
      <c r="M329" s="443"/>
      <c r="N329" s="443"/>
      <c r="O329" s="443"/>
      <c r="P329" s="443"/>
      <c r="Q329" s="443"/>
    </row>
    <row r="330" spans="6:17" ht="25.15" customHeight="1">
      <c r="F330" s="453"/>
      <c r="G330" s="443"/>
      <c r="H330" s="443"/>
      <c r="I330" s="443"/>
      <c r="J330" s="443"/>
      <c r="K330" s="443"/>
      <c r="L330" s="443"/>
      <c r="M330" s="443"/>
      <c r="N330" s="443"/>
      <c r="O330" s="443"/>
      <c r="P330" s="443"/>
      <c r="Q330" s="443"/>
    </row>
    <row r="331" spans="6:17" ht="25.15" customHeight="1">
      <c r="F331" s="453"/>
      <c r="G331" s="443"/>
      <c r="H331" s="443"/>
      <c r="I331" s="443"/>
      <c r="J331" s="443"/>
      <c r="K331" s="443"/>
      <c r="L331" s="443"/>
      <c r="M331" s="443"/>
      <c r="N331" s="443"/>
      <c r="O331" s="443"/>
      <c r="P331" s="443"/>
      <c r="Q331" s="443"/>
    </row>
    <row r="332" spans="6:17" ht="25.15" customHeight="1">
      <c r="F332" s="453"/>
      <c r="G332" s="443"/>
      <c r="H332" s="443"/>
      <c r="I332" s="443"/>
      <c r="J332" s="443"/>
      <c r="K332" s="443"/>
      <c r="L332" s="443"/>
      <c r="M332" s="443"/>
      <c r="N332" s="443"/>
      <c r="O332" s="443"/>
      <c r="P332" s="443"/>
      <c r="Q332" s="443"/>
    </row>
    <row r="333" spans="6:17" ht="25.15" customHeight="1">
      <c r="F333" s="453"/>
      <c r="G333" s="443"/>
      <c r="H333" s="443"/>
      <c r="I333" s="443"/>
      <c r="J333" s="443"/>
      <c r="K333" s="443"/>
      <c r="L333" s="443"/>
      <c r="M333" s="443"/>
      <c r="N333" s="443"/>
      <c r="O333" s="443"/>
      <c r="P333" s="443"/>
      <c r="Q333" s="443"/>
    </row>
    <row r="334" spans="6:17" ht="25.15" customHeight="1">
      <c r="F334" s="453"/>
      <c r="G334" s="443"/>
      <c r="H334" s="443"/>
      <c r="I334" s="443"/>
      <c r="J334" s="443"/>
      <c r="K334" s="443"/>
      <c r="L334" s="443"/>
      <c r="M334" s="443"/>
      <c r="N334" s="443"/>
      <c r="O334" s="443"/>
      <c r="P334" s="443"/>
      <c r="Q334" s="443"/>
    </row>
    <row r="335" spans="6:17" ht="25.15" customHeight="1">
      <c r="F335" s="453"/>
      <c r="G335" s="443"/>
      <c r="H335" s="443"/>
      <c r="I335" s="443"/>
      <c r="J335" s="443"/>
      <c r="K335" s="443"/>
      <c r="L335" s="443"/>
      <c r="M335" s="443"/>
      <c r="N335" s="443"/>
      <c r="O335" s="443"/>
      <c r="P335" s="443"/>
      <c r="Q335" s="443"/>
    </row>
    <row r="336" spans="6:17" ht="25.15" customHeight="1">
      <c r="F336" s="453"/>
      <c r="G336" s="443"/>
      <c r="H336" s="443"/>
      <c r="I336" s="443"/>
      <c r="J336" s="443"/>
      <c r="K336" s="443"/>
      <c r="L336" s="443"/>
      <c r="M336" s="443"/>
      <c r="N336" s="443"/>
      <c r="O336" s="443"/>
      <c r="P336" s="443"/>
      <c r="Q336" s="443"/>
    </row>
    <row r="337" spans="6:17" ht="25.15" customHeight="1">
      <c r="F337" s="453"/>
      <c r="G337" s="443"/>
      <c r="H337" s="443"/>
      <c r="I337" s="443"/>
      <c r="J337" s="443"/>
      <c r="K337" s="443"/>
      <c r="L337" s="443"/>
      <c r="M337" s="443"/>
      <c r="N337" s="443"/>
      <c r="O337" s="443"/>
      <c r="P337" s="443"/>
      <c r="Q337" s="443"/>
    </row>
    <row r="338" spans="6:17" ht="25.15" customHeight="1">
      <c r="F338" s="453"/>
      <c r="G338" s="443"/>
      <c r="H338" s="443"/>
      <c r="I338" s="443"/>
      <c r="J338" s="443"/>
      <c r="K338" s="443"/>
      <c r="L338" s="443"/>
      <c r="M338" s="443"/>
      <c r="N338" s="443"/>
      <c r="O338" s="443"/>
      <c r="P338" s="443"/>
      <c r="Q338" s="443"/>
    </row>
    <row r="339" spans="6:17" ht="25.15" customHeight="1">
      <c r="F339" s="453"/>
      <c r="G339" s="443"/>
      <c r="H339" s="443"/>
      <c r="I339" s="443"/>
      <c r="J339" s="443"/>
      <c r="K339" s="443"/>
      <c r="L339" s="443"/>
      <c r="M339" s="443"/>
      <c r="N339" s="443"/>
      <c r="O339" s="443"/>
      <c r="P339" s="443"/>
      <c r="Q339" s="443"/>
    </row>
    <row r="340" spans="6:17" ht="25.15" customHeight="1">
      <c r="F340" s="453"/>
      <c r="G340" s="443"/>
      <c r="H340" s="443"/>
      <c r="I340" s="443"/>
      <c r="J340" s="443"/>
      <c r="K340" s="443"/>
      <c r="L340" s="443"/>
      <c r="M340" s="443"/>
      <c r="N340" s="443"/>
      <c r="O340" s="443"/>
      <c r="P340" s="443"/>
      <c r="Q340" s="443"/>
    </row>
    <row r="341" spans="6:17" ht="25.15" customHeight="1">
      <c r="F341" s="453"/>
      <c r="G341" s="443"/>
      <c r="H341" s="443"/>
      <c r="I341" s="443"/>
      <c r="J341" s="443"/>
      <c r="K341" s="443"/>
      <c r="L341" s="443"/>
      <c r="M341" s="443"/>
      <c r="N341" s="443"/>
      <c r="O341" s="443"/>
      <c r="P341" s="443"/>
      <c r="Q341" s="443"/>
    </row>
    <row r="342" spans="6:17" ht="25.15" customHeight="1">
      <c r="F342" s="453"/>
      <c r="G342" s="443"/>
      <c r="H342" s="443"/>
      <c r="I342" s="443"/>
      <c r="J342" s="443"/>
      <c r="K342" s="443"/>
      <c r="L342" s="443"/>
      <c r="M342" s="443"/>
      <c r="N342" s="443"/>
      <c r="O342" s="443"/>
      <c r="P342" s="443"/>
      <c r="Q342" s="443"/>
    </row>
    <row r="343" spans="6:17" ht="25.15" customHeight="1">
      <c r="F343" s="453"/>
      <c r="G343" s="443"/>
      <c r="H343" s="443"/>
      <c r="I343" s="443"/>
      <c r="J343" s="443"/>
      <c r="K343" s="443"/>
      <c r="L343" s="443"/>
      <c r="M343" s="443"/>
      <c r="N343" s="443"/>
      <c r="O343" s="443"/>
      <c r="P343" s="443"/>
      <c r="Q343" s="443"/>
    </row>
    <row r="344" spans="6:17" ht="25.15" customHeight="1">
      <c r="F344" s="453"/>
      <c r="G344" s="443"/>
      <c r="H344" s="443"/>
      <c r="I344" s="443"/>
      <c r="J344" s="443"/>
      <c r="K344" s="443"/>
      <c r="L344" s="443"/>
      <c r="M344" s="443"/>
      <c r="N344" s="443"/>
      <c r="O344" s="443"/>
      <c r="P344" s="443"/>
      <c r="Q344" s="443"/>
    </row>
    <row r="345" spans="6:17" ht="25.15" customHeight="1">
      <c r="F345" s="453"/>
      <c r="G345" s="443"/>
      <c r="H345" s="443"/>
      <c r="I345" s="443"/>
      <c r="J345" s="443"/>
      <c r="K345" s="443"/>
      <c r="L345" s="443"/>
      <c r="M345" s="443"/>
      <c r="N345" s="443"/>
      <c r="O345" s="443"/>
      <c r="P345" s="443"/>
      <c r="Q345" s="443"/>
    </row>
    <row r="346" spans="6:17" ht="25.15" customHeight="1">
      <c r="F346" s="453"/>
      <c r="G346" s="443"/>
      <c r="H346" s="443"/>
      <c r="I346" s="443"/>
      <c r="J346" s="443"/>
      <c r="K346" s="443"/>
      <c r="L346" s="443"/>
      <c r="M346" s="443"/>
      <c r="N346" s="443"/>
      <c r="O346" s="443"/>
      <c r="P346" s="443"/>
      <c r="Q346" s="443"/>
    </row>
    <row r="347" spans="6:17" ht="25.15" customHeight="1">
      <c r="F347" s="453"/>
      <c r="G347" s="443"/>
      <c r="H347" s="443"/>
      <c r="I347" s="443"/>
      <c r="J347" s="443"/>
      <c r="K347" s="443"/>
      <c r="L347" s="443"/>
      <c r="M347" s="443"/>
      <c r="N347" s="443"/>
      <c r="O347" s="443"/>
      <c r="P347" s="443"/>
      <c r="Q347" s="443"/>
    </row>
    <row r="348" spans="6:17" ht="25.15" customHeight="1">
      <c r="F348" s="453"/>
      <c r="G348" s="443"/>
      <c r="H348" s="443"/>
      <c r="I348" s="443"/>
      <c r="J348" s="443"/>
      <c r="K348" s="443"/>
      <c r="L348" s="443"/>
      <c r="M348" s="443"/>
      <c r="N348" s="443"/>
      <c r="O348" s="443"/>
      <c r="P348" s="443"/>
      <c r="Q348" s="443"/>
    </row>
    <row r="349" spans="6:17" ht="25.15" customHeight="1">
      <c r="F349" s="453"/>
      <c r="G349" s="443"/>
      <c r="H349" s="443"/>
      <c r="I349" s="443"/>
      <c r="J349" s="443"/>
      <c r="K349" s="443"/>
      <c r="L349" s="443"/>
      <c r="M349" s="443"/>
      <c r="N349" s="443"/>
      <c r="O349" s="443"/>
      <c r="P349" s="443"/>
      <c r="Q349" s="443"/>
    </row>
    <row r="350" spans="6:17" ht="25.15" customHeight="1">
      <c r="F350" s="453"/>
      <c r="G350" s="443"/>
      <c r="H350" s="443"/>
      <c r="I350" s="443"/>
      <c r="J350" s="443"/>
      <c r="K350" s="443"/>
      <c r="L350" s="443"/>
      <c r="M350" s="443"/>
      <c r="N350" s="443"/>
      <c r="O350" s="443"/>
      <c r="P350" s="443"/>
      <c r="Q350" s="443"/>
    </row>
    <row r="351" spans="6:17" ht="25.15" customHeight="1">
      <c r="F351" s="453"/>
      <c r="G351" s="443"/>
      <c r="H351" s="443"/>
      <c r="I351" s="443"/>
      <c r="J351" s="443"/>
      <c r="K351" s="443"/>
      <c r="L351" s="443"/>
      <c r="M351" s="443"/>
      <c r="N351" s="443"/>
      <c r="O351" s="443"/>
      <c r="P351" s="443"/>
      <c r="Q351" s="443"/>
    </row>
    <row r="352" spans="6:17" ht="25.15" customHeight="1">
      <c r="F352" s="453"/>
      <c r="G352" s="443"/>
      <c r="H352" s="443"/>
      <c r="I352" s="443"/>
      <c r="J352" s="443"/>
      <c r="K352" s="443"/>
      <c r="L352" s="443"/>
      <c r="M352" s="443"/>
      <c r="N352" s="443"/>
      <c r="O352" s="443"/>
      <c r="P352" s="443"/>
      <c r="Q352" s="443"/>
    </row>
    <row r="353" spans="6:17" ht="25.15" customHeight="1">
      <c r="F353" s="453"/>
      <c r="G353" s="443"/>
      <c r="H353" s="443"/>
      <c r="I353" s="443"/>
      <c r="J353" s="443"/>
      <c r="K353" s="443"/>
      <c r="L353" s="443"/>
      <c r="M353" s="443"/>
      <c r="N353" s="443"/>
      <c r="O353" s="443"/>
      <c r="P353" s="443"/>
      <c r="Q353" s="443"/>
    </row>
    <row r="354" spans="6:17" ht="25.15" customHeight="1">
      <c r="F354" s="453"/>
      <c r="G354" s="443"/>
      <c r="H354" s="443"/>
      <c r="I354" s="443"/>
      <c r="J354" s="443"/>
      <c r="K354" s="443"/>
      <c r="L354" s="443"/>
      <c r="M354" s="443"/>
      <c r="N354" s="443"/>
      <c r="O354" s="443"/>
      <c r="P354" s="443"/>
      <c r="Q354" s="443"/>
    </row>
    <row r="355" spans="6:17" ht="25.15" customHeight="1">
      <c r="F355" s="453"/>
      <c r="G355" s="443"/>
      <c r="H355" s="443"/>
      <c r="I355" s="443"/>
      <c r="J355" s="443"/>
      <c r="K355" s="443"/>
      <c r="L355" s="443"/>
      <c r="M355" s="443"/>
      <c r="N355" s="443"/>
      <c r="O355" s="443"/>
      <c r="P355" s="443"/>
      <c r="Q355" s="443"/>
    </row>
    <row r="356" spans="6:17" ht="25.15" customHeight="1">
      <c r="F356" s="453"/>
      <c r="G356" s="443"/>
      <c r="H356" s="443"/>
      <c r="I356" s="443"/>
      <c r="J356" s="443"/>
      <c r="K356" s="443"/>
      <c r="L356" s="443"/>
      <c r="M356" s="443"/>
      <c r="N356" s="443"/>
      <c r="O356" s="443"/>
      <c r="P356" s="443"/>
      <c r="Q356" s="443"/>
    </row>
    <row r="357" spans="6:17" ht="25.15" customHeight="1">
      <c r="F357" s="453"/>
      <c r="G357" s="443"/>
      <c r="H357" s="443"/>
      <c r="I357" s="443"/>
      <c r="J357" s="443"/>
      <c r="K357" s="443"/>
      <c r="L357" s="443"/>
      <c r="M357" s="443"/>
      <c r="N357" s="443"/>
      <c r="O357" s="443"/>
      <c r="P357" s="443"/>
      <c r="Q357" s="443"/>
    </row>
    <row r="358" spans="6:17" ht="25.15" customHeight="1">
      <c r="F358" s="453"/>
      <c r="G358" s="443"/>
      <c r="H358" s="443"/>
      <c r="I358" s="443"/>
      <c r="J358" s="443"/>
      <c r="K358" s="443"/>
      <c r="L358" s="443"/>
      <c r="M358" s="443"/>
      <c r="N358" s="443"/>
      <c r="O358" s="443"/>
      <c r="P358" s="443"/>
      <c r="Q358" s="443"/>
    </row>
    <row r="359" spans="6:17" ht="25.15" customHeight="1">
      <c r="F359" s="453"/>
      <c r="G359" s="443"/>
      <c r="H359" s="443"/>
      <c r="I359" s="443"/>
      <c r="J359" s="443"/>
      <c r="K359" s="443"/>
      <c r="L359" s="443"/>
      <c r="M359" s="443"/>
      <c r="N359" s="443"/>
      <c r="O359" s="443"/>
      <c r="P359" s="443"/>
      <c r="Q359" s="443"/>
    </row>
    <row r="360" spans="6:17" ht="25.15" customHeight="1">
      <c r="F360" s="453"/>
      <c r="G360" s="443"/>
      <c r="H360" s="443"/>
      <c r="I360" s="443"/>
      <c r="J360" s="443"/>
      <c r="K360" s="443"/>
      <c r="L360" s="443"/>
      <c r="M360" s="443"/>
      <c r="N360" s="443"/>
      <c r="O360" s="443"/>
      <c r="P360" s="443"/>
      <c r="Q360" s="443"/>
    </row>
    <row r="361" spans="6:17" ht="25.15" customHeight="1">
      <c r="F361" s="453"/>
      <c r="G361" s="443"/>
      <c r="H361" s="443"/>
      <c r="I361" s="443"/>
      <c r="J361" s="443"/>
      <c r="K361" s="443"/>
      <c r="L361" s="443"/>
      <c r="M361" s="443"/>
      <c r="N361" s="443"/>
      <c r="O361" s="443"/>
      <c r="P361" s="443"/>
      <c r="Q361" s="443"/>
    </row>
    <row r="362" spans="6:17" ht="25.15" customHeight="1">
      <c r="F362" s="453"/>
      <c r="G362" s="443"/>
      <c r="H362" s="443"/>
      <c r="I362" s="443"/>
      <c r="J362" s="443"/>
      <c r="K362" s="443"/>
      <c r="L362" s="443"/>
      <c r="M362" s="443"/>
      <c r="N362" s="443"/>
      <c r="O362" s="443"/>
      <c r="P362" s="443"/>
      <c r="Q362" s="443"/>
    </row>
    <row r="363" spans="6:17" ht="25.15" customHeight="1">
      <c r="F363" s="453"/>
      <c r="G363" s="443"/>
      <c r="H363" s="443"/>
      <c r="I363" s="443"/>
      <c r="J363" s="443"/>
      <c r="K363" s="443"/>
      <c r="L363" s="443"/>
      <c r="M363" s="443"/>
      <c r="N363" s="443"/>
      <c r="O363" s="443"/>
      <c r="P363" s="443"/>
      <c r="Q363" s="443"/>
    </row>
    <row r="364" spans="6:17" ht="25.15" customHeight="1">
      <c r="F364" s="453"/>
      <c r="G364" s="443"/>
      <c r="H364" s="443"/>
      <c r="I364" s="443"/>
      <c r="J364" s="443"/>
      <c r="K364" s="443"/>
      <c r="L364" s="443"/>
      <c r="M364" s="443"/>
      <c r="N364" s="443"/>
      <c r="O364" s="443"/>
      <c r="P364" s="443"/>
      <c r="Q364" s="443"/>
    </row>
    <row r="365" spans="6:17" ht="25.15" customHeight="1">
      <c r="F365" s="453"/>
      <c r="G365" s="443"/>
      <c r="H365" s="443"/>
      <c r="I365" s="443"/>
      <c r="J365" s="443"/>
      <c r="K365" s="443"/>
      <c r="L365" s="443"/>
      <c r="M365" s="443"/>
      <c r="N365" s="443"/>
      <c r="O365" s="443"/>
      <c r="P365" s="443"/>
      <c r="Q365" s="443"/>
    </row>
    <row r="366" spans="6:17" ht="25.15" customHeight="1">
      <c r="F366" s="453"/>
      <c r="G366" s="443"/>
      <c r="H366" s="443"/>
      <c r="I366" s="443"/>
      <c r="J366" s="443"/>
      <c r="K366" s="443"/>
      <c r="L366" s="443"/>
      <c r="M366" s="443"/>
      <c r="N366" s="443"/>
      <c r="O366" s="443"/>
      <c r="P366" s="443"/>
      <c r="Q366" s="443"/>
    </row>
    <row r="367" spans="6:17" ht="25.15" customHeight="1">
      <c r="F367" s="453"/>
      <c r="G367" s="443"/>
      <c r="H367" s="443"/>
      <c r="I367" s="443"/>
      <c r="J367" s="443"/>
      <c r="K367" s="443"/>
      <c r="L367" s="443"/>
      <c r="M367" s="443"/>
      <c r="N367" s="443"/>
      <c r="O367" s="443"/>
      <c r="P367" s="443"/>
      <c r="Q367" s="443"/>
    </row>
    <row r="368" spans="6:17" ht="25.15" customHeight="1">
      <c r="F368" s="453"/>
      <c r="G368" s="443"/>
      <c r="H368" s="443"/>
      <c r="I368" s="443"/>
      <c r="J368" s="443"/>
      <c r="K368" s="443"/>
      <c r="L368" s="443"/>
      <c r="M368" s="443"/>
      <c r="N368" s="443"/>
      <c r="O368" s="443"/>
      <c r="P368" s="443"/>
      <c r="Q368" s="443"/>
    </row>
    <row r="369" spans="6:17" ht="25.15" customHeight="1">
      <c r="F369" s="453"/>
      <c r="G369" s="443"/>
      <c r="H369" s="443"/>
      <c r="I369" s="443"/>
      <c r="J369" s="443"/>
      <c r="K369" s="443"/>
      <c r="L369" s="443"/>
      <c r="M369" s="443"/>
      <c r="N369" s="443"/>
      <c r="O369" s="443"/>
      <c r="P369" s="443"/>
      <c r="Q369" s="443"/>
    </row>
    <row r="370" spans="6:17" ht="25.15" customHeight="1">
      <c r="F370" s="453"/>
      <c r="G370" s="443"/>
      <c r="H370" s="443"/>
      <c r="I370" s="443"/>
      <c r="J370" s="443"/>
      <c r="K370" s="443"/>
      <c r="L370" s="443"/>
      <c r="M370" s="443"/>
      <c r="N370" s="443"/>
      <c r="O370" s="443"/>
      <c r="P370" s="443"/>
      <c r="Q370" s="443"/>
    </row>
    <row r="371" spans="6:17" ht="25.15" customHeight="1">
      <c r="F371" s="453"/>
      <c r="G371" s="443"/>
      <c r="H371" s="443"/>
      <c r="I371" s="443"/>
      <c r="J371" s="443"/>
      <c r="K371" s="443"/>
      <c r="L371" s="443"/>
      <c r="M371" s="443"/>
      <c r="N371" s="443"/>
      <c r="O371" s="443"/>
      <c r="P371" s="443"/>
      <c r="Q371" s="443"/>
    </row>
    <row r="372" spans="6:17" ht="25.15" customHeight="1">
      <c r="F372" s="453"/>
      <c r="G372" s="443"/>
      <c r="H372" s="443"/>
      <c r="I372" s="443"/>
      <c r="J372" s="443"/>
      <c r="K372" s="443"/>
      <c r="L372" s="443"/>
      <c r="M372" s="443"/>
      <c r="N372" s="443"/>
      <c r="O372" s="443"/>
      <c r="P372" s="443"/>
      <c r="Q372" s="443"/>
    </row>
    <row r="373" spans="6:17" ht="25.15" customHeight="1">
      <c r="F373" s="453"/>
      <c r="G373" s="443"/>
      <c r="H373" s="443"/>
      <c r="I373" s="443"/>
      <c r="J373" s="443"/>
      <c r="K373" s="443"/>
      <c r="L373" s="443"/>
      <c r="M373" s="443"/>
      <c r="N373" s="443"/>
      <c r="O373" s="443"/>
      <c r="P373" s="443"/>
      <c r="Q373" s="443"/>
    </row>
    <row r="374" spans="6:17" ht="25.15" customHeight="1">
      <c r="F374" s="453"/>
      <c r="G374" s="443"/>
      <c r="H374" s="443"/>
      <c r="I374" s="443"/>
      <c r="J374" s="443"/>
      <c r="K374" s="443"/>
      <c r="L374" s="443"/>
      <c r="M374" s="443"/>
      <c r="N374" s="443"/>
      <c r="O374" s="443"/>
      <c r="P374" s="443"/>
      <c r="Q374" s="443"/>
    </row>
    <row r="375" spans="6:17" ht="25.15" customHeight="1">
      <c r="F375" s="453"/>
      <c r="G375" s="443"/>
      <c r="H375" s="443"/>
      <c r="I375" s="443"/>
      <c r="J375" s="443"/>
      <c r="K375" s="443"/>
      <c r="L375" s="443"/>
      <c r="M375" s="443"/>
      <c r="N375" s="443"/>
      <c r="O375" s="443"/>
      <c r="P375" s="443"/>
      <c r="Q375" s="443"/>
    </row>
    <row r="376" spans="6:17" ht="25.15" customHeight="1">
      <c r="F376" s="453"/>
      <c r="G376" s="443"/>
      <c r="H376" s="443"/>
      <c r="I376" s="443"/>
      <c r="J376" s="443"/>
      <c r="K376" s="443"/>
      <c r="L376" s="443"/>
      <c r="M376" s="443"/>
      <c r="N376" s="443"/>
      <c r="O376" s="443"/>
      <c r="P376" s="443"/>
      <c r="Q376" s="443"/>
    </row>
    <row r="377" spans="6:17" ht="25.15" customHeight="1">
      <c r="F377" s="453"/>
      <c r="G377" s="443"/>
      <c r="H377" s="443"/>
      <c r="I377" s="443"/>
      <c r="J377" s="443"/>
      <c r="K377" s="443"/>
      <c r="L377" s="443"/>
      <c r="M377" s="443"/>
      <c r="N377" s="443"/>
      <c r="O377" s="443"/>
      <c r="P377" s="443"/>
      <c r="Q377" s="443"/>
    </row>
    <row r="378" spans="6:17" ht="25.15" customHeight="1">
      <c r="F378" s="453"/>
      <c r="G378" s="443"/>
      <c r="H378" s="443"/>
      <c r="I378" s="443"/>
      <c r="J378" s="443"/>
      <c r="K378" s="443"/>
      <c r="L378" s="443"/>
      <c r="M378" s="443"/>
      <c r="N378" s="443"/>
      <c r="O378" s="443"/>
      <c r="P378" s="443"/>
      <c r="Q378" s="443"/>
    </row>
    <row r="379" spans="6:17" ht="25.15" customHeight="1">
      <c r="F379" s="453"/>
      <c r="G379" s="443"/>
      <c r="H379" s="443"/>
      <c r="I379" s="443"/>
      <c r="J379" s="443"/>
      <c r="K379" s="443"/>
      <c r="L379" s="443"/>
      <c r="M379" s="443"/>
      <c r="N379" s="443"/>
      <c r="O379" s="443"/>
      <c r="P379" s="443"/>
      <c r="Q379" s="443"/>
    </row>
    <row r="380" spans="6:17" ht="25.15" customHeight="1">
      <c r="F380" s="453"/>
      <c r="G380" s="443"/>
      <c r="H380" s="443"/>
      <c r="I380" s="443"/>
      <c r="J380" s="443"/>
      <c r="K380" s="443"/>
      <c r="L380" s="443"/>
      <c r="M380" s="443"/>
      <c r="N380" s="443"/>
      <c r="O380" s="443"/>
      <c r="P380" s="443"/>
      <c r="Q380" s="443"/>
    </row>
    <row r="381" spans="6:17" ht="25.15" customHeight="1">
      <c r="F381" s="453"/>
      <c r="G381" s="443"/>
      <c r="H381" s="443"/>
      <c r="I381" s="443"/>
      <c r="J381" s="443"/>
      <c r="K381" s="443"/>
      <c r="L381" s="443"/>
      <c r="M381" s="443"/>
      <c r="N381" s="443"/>
      <c r="O381" s="443"/>
      <c r="P381" s="443"/>
      <c r="Q381" s="443"/>
    </row>
    <row r="382" spans="6:17" ht="25.15" customHeight="1">
      <c r="F382" s="453"/>
      <c r="G382" s="443"/>
      <c r="H382" s="443"/>
      <c r="I382" s="443"/>
      <c r="J382" s="443"/>
      <c r="K382" s="443"/>
      <c r="L382" s="443"/>
      <c r="M382" s="443"/>
      <c r="N382" s="443"/>
      <c r="O382" s="443"/>
      <c r="P382" s="443"/>
      <c r="Q382" s="443"/>
    </row>
    <row r="383" spans="6:17" ht="25.15" customHeight="1">
      <c r="F383" s="453"/>
      <c r="G383" s="443"/>
      <c r="H383" s="443"/>
      <c r="I383" s="443"/>
      <c r="J383" s="443"/>
      <c r="K383" s="443"/>
      <c r="L383" s="443"/>
      <c r="M383" s="443"/>
      <c r="N383" s="443"/>
      <c r="O383" s="443"/>
      <c r="P383" s="443"/>
      <c r="Q383" s="443"/>
    </row>
    <row r="384" spans="6:17" ht="25.15" customHeight="1">
      <c r="F384" s="453"/>
      <c r="G384" s="443"/>
      <c r="H384" s="443"/>
      <c r="I384" s="443"/>
      <c r="J384" s="443"/>
      <c r="K384" s="443"/>
      <c r="L384" s="443"/>
      <c r="M384" s="443"/>
      <c r="N384" s="443"/>
      <c r="O384" s="443"/>
      <c r="P384" s="443"/>
      <c r="Q384" s="443"/>
    </row>
    <row r="385" spans="6:17" ht="25.15" customHeight="1">
      <c r="F385" s="453"/>
      <c r="G385" s="443"/>
      <c r="H385" s="443"/>
      <c r="I385" s="443"/>
      <c r="J385" s="443"/>
      <c r="K385" s="443"/>
      <c r="L385" s="443"/>
      <c r="M385" s="443"/>
      <c r="N385" s="443"/>
      <c r="O385" s="443"/>
      <c r="P385" s="443"/>
      <c r="Q385" s="443"/>
    </row>
    <row r="386" spans="6:17" ht="25.15" customHeight="1">
      <c r="F386" s="453"/>
      <c r="G386" s="443"/>
      <c r="H386" s="443"/>
      <c r="I386" s="443"/>
      <c r="J386" s="443"/>
      <c r="K386" s="443"/>
      <c r="L386" s="443"/>
      <c r="M386" s="443"/>
      <c r="N386" s="443"/>
      <c r="O386" s="443"/>
      <c r="P386" s="443"/>
      <c r="Q386" s="443"/>
    </row>
    <row r="387" spans="6:17" ht="25.15" customHeight="1">
      <c r="F387" s="453"/>
      <c r="G387" s="443"/>
      <c r="H387" s="443"/>
      <c r="I387" s="443"/>
      <c r="J387" s="443"/>
      <c r="K387" s="443"/>
      <c r="L387" s="443"/>
      <c r="M387" s="443"/>
      <c r="N387" s="443"/>
      <c r="O387" s="443"/>
      <c r="P387" s="443"/>
      <c r="Q387" s="443"/>
    </row>
    <row r="388" spans="6:17" ht="25.15" customHeight="1">
      <c r="F388" s="453"/>
      <c r="G388" s="443"/>
      <c r="H388" s="443"/>
      <c r="I388" s="443"/>
      <c r="J388" s="443"/>
      <c r="K388" s="443"/>
      <c r="L388" s="443"/>
      <c r="M388" s="443"/>
      <c r="N388" s="443"/>
      <c r="O388" s="443"/>
      <c r="P388" s="443"/>
      <c r="Q388" s="443"/>
    </row>
    <row r="389" spans="6:17" ht="25.15" customHeight="1">
      <c r="F389" s="453"/>
      <c r="G389" s="443"/>
      <c r="H389" s="443"/>
      <c r="I389" s="443"/>
      <c r="J389" s="443"/>
      <c r="K389" s="443"/>
      <c r="L389" s="443"/>
      <c r="M389" s="443"/>
      <c r="N389" s="443"/>
      <c r="O389" s="443"/>
      <c r="P389" s="443"/>
      <c r="Q389" s="443"/>
    </row>
    <row r="390" spans="6:17" ht="25.15" customHeight="1">
      <c r="F390" s="453"/>
      <c r="G390" s="443"/>
      <c r="H390" s="443"/>
      <c r="I390" s="443"/>
      <c r="J390" s="443"/>
      <c r="K390" s="443"/>
      <c r="L390" s="443"/>
      <c r="M390" s="443"/>
      <c r="N390" s="443"/>
      <c r="O390" s="443"/>
      <c r="P390" s="443"/>
      <c r="Q390" s="443"/>
    </row>
    <row r="391" spans="6:17" ht="25.15" customHeight="1">
      <c r="F391" s="453"/>
      <c r="G391" s="443"/>
      <c r="H391" s="443"/>
      <c r="I391" s="443"/>
      <c r="J391" s="443"/>
      <c r="K391" s="443"/>
      <c r="L391" s="443"/>
      <c r="M391" s="443"/>
      <c r="N391" s="443"/>
      <c r="O391" s="443"/>
      <c r="P391" s="443"/>
      <c r="Q391" s="443"/>
    </row>
    <row r="392" spans="6:17" ht="25.15" customHeight="1">
      <c r="F392" s="453"/>
      <c r="G392" s="443"/>
      <c r="H392" s="443"/>
      <c r="I392" s="443"/>
      <c r="J392" s="443"/>
      <c r="K392" s="443"/>
      <c r="L392" s="443"/>
      <c r="M392" s="443"/>
      <c r="N392" s="443"/>
      <c r="O392" s="443"/>
      <c r="P392" s="443"/>
      <c r="Q392" s="443"/>
    </row>
    <row r="393" spans="6:17" ht="25.15" customHeight="1">
      <c r="F393" s="453"/>
      <c r="G393" s="443"/>
      <c r="H393" s="443"/>
      <c r="I393" s="443"/>
      <c r="J393" s="443"/>
      <c r="K393" s="443"/>
      <c r="L393" s="443"/>
      <c r="M393" s="443"/>
      <c r="N393" s="443"/>
      <c r="O393" s="443"/>
      <c r="P393" s="443"/>
      <c r="Q393" s="443"/>
    </row>
    <row r="394" spans="6:17" ht="25.15" customHeight="1">
      <c r="F394" s="453"/>
      <c r="G394" s="443"/>
      <c r="H394" s="443"/>
      <c r="I394" s="443"/>
      <c r="J394" s="443"/>
      <c r="K394" s="443"/>
      <c r="L394" s="443"/>
      <c r="M394" s="443"/>
      <c r="N394" s="443"/>
      <c r="O394" s="443"/>
      <c r="P394" s="443"/>
      <c r="Q394" s="443"/>
    </row>
    <row r="395" spans="6:17" ht="25.15" customHeight="1">
      <c r="F395" s="453"/>
      <c r="G395" s="443"/>
      <c r="H395" s="443"/>
      <c r="I395" s="443"/>
      <c r="J395" s="443"/>
      <c r="K395" s="443"/>
      <c r="L395" s="443"/>
      <c r="M395" s="443"/>
      <c r="N395" s="443"/>
      <c r="O395" s="443"/>
      <c r="P395" s="443"/>
      <c r="Q395" s="443"/>
    </row>
    <row r="396" spans="6:17" ht="25.15" customHeight="1">
      <c r="F396" s="453"/>
      <c r="G396" s="443"/>
      <c r="H396" s="443"/>
      <c r="I396" s="443"/>
      <c r="J396" s="443"/>
      <c r="K396" s="443"/>
      <c r="L396" s="443"/>
      <c r="M396" s="443"/>
      <c r="N396" s="443"/>
      <c r="O396" s="443"/>
      <c r="P396" s="443"/>
      <c r="Q396" s="443"/>
    </row>
    <row r="397" spans="6:17" ht="25.15" customHeight="1">
      <c r="F397" s="453"/>
      <c r="G397" s="443"/>
      <c r="H397" s="443"/>
      <c r="I397" s="443"/>
      <c r="J397" s="443"/>
      <c r="K397" s="443"/>
      <c r="L397" s="443"/>
      <c r="M397" s="443"/>
      <c r="N397" s="443"/>
      <c r="O397" s="443"/>
      <c r="P397" s="443"/>
      <c r="Q397" s="443"/>
    </row>
    <row r="398" spans="6:17" ht="25.15" customHeight="1">
      <c r="F398" s="453"/>
      <c r="G398" s="443"/>
      <c r="H398" s="443"/>
      <c r="I398" s="443"/>
      <c r="J398" s="443"/>
      <c r="K398" s="443"/>
      <c r="L398" s="443"/>
      <c r="M398" s="443"/>
      <c r="N398" s="443"/>
      <c r="O398" s="443"/>
      <c r="P398" s="443"/>
      <c r="Q398" s="443"/>
    </row>
    <row r="399" spans="6:17" ht="25.15" customHeight="1">
      <c r="F399" s="453"/>
      <c r="G399" s="443"/>
      <c r="H399" s="443"/>
      <c r="I399" s="443"/>
      <c r="J399" s="443"/>
      <c r="K399" s="443"/>
      <c r="L399" s="443"/>
      <c r="M399" s="443"/>
      <c r="N399" s="443"/>
      <c r="O399" s="443"/>
      <c r="P399" s="443"/>
      <c r="Q399" s="443"/>
    </row>
    <row r="400" spans="6:17" ht="25.15" customHeight="1">
      <c r="F400" s="453"/>
      <c r="G400" s="443"/>
      <c r="H400" s="443"/>
      <c r="I400" s="443"/>
      <c r="J400" s="443"/>
      <c r="K400" s="443"/>
      <c r="L400" s="443"/>
      <c r="M400" s="443"/>
      <c r="N400" s="443"/>
      <c r="O400" s="443"/>
      <c r="P400" s="443"/>
      <c r="Q400" s="443"/>
    </row>
    <row r="401" spans="6:17" ht="25.15" customHeight="1">
      <c r="F401" s="453"/>
      <c r="G401" s="443"/>
      <c r="H401" s="443"/>
      <c r="I401" s="443"/>
      <c r="J401" s="443"/>
      <c r="K401" s="443"/>
      <c r="L401" s="443"/>
      <c r="M401" s="443"/>
      <c r="N401" s="443"/>
      <c r="O401" s="443"/>
      <c r="P401" s="443"/>
      <c r="Q401" s="443"/>
    </row>
    <row r="402" spans="6:17" ht="25.15" customHeight="1">
      <c r="F402" s="453"/>
      <c r="G402" s="443"/>
      <c r="H402" s="443"/>
      <c r="I402" s="443"/>
      <c r="J402" s="443"/>
      <c r="K402" s="443"/>
      <c r="L402" s="443"/>
      <c r="M402" s="443"/>
      <c r="N402" s="443"/>
      <c r="O402" s="443"/>
      <c r="P402" s="443"/>
      <c r="Q402" s="443"/>
    </row>
    <row r="403" spans="6:17" ht="25.15" customHeight="1">
      <c r="F403" s="453"/>
      <c r="G403" s="443"/>
      <c r="H403" s="443"/>
      <c r="I403" s="443"/>
      <c r="J403" s="443"/>
      <c r="K403" s="443"/>
      <c r="L403" s="443"/>
      <c r="M403" s="443"/>
      <c r="N403" s="443"/>
      <c r="O403" s="443"/>
      <c r="P403" s="443"/>
      <c r="Q403" s="443"/>
    </row>
    <row r="404" spans="6:17" ht="25.15" customHeight="1">
      <c r="F404" s="453"/>
      <c r="G404" s="443"/>
      <c r="H404" s="443"/>
      <c r="I404" s="443"/>
      <c r="J404" s="443"/>
      <c r="K404" s="443"/>
      <c r="L404" s="443"/>
      <c r="M404" s="443"/>
      <c r="N404" s="443"/>
      <c r="O404" s="443"/>
      <c r="P404" s="443"/>
      <c r="Q404" s="443"/>
    </row>
    <row r="405" spans="6:17" ht="25.15" customHeight="1">
      <c r="F405" s="453"/>
      <c r="G405" s="443"/>
      <c r="H405" s="443"/>
      <c r="I405" s="443"/>
      <c r="J405" s="443"/>
      <c r="K405" s="443"/>
      <c r="L405" s="443"/>
      <c r="M405" s="443"/>
      <c r="N405" s="443"/>
      <c r="O405" s="443"/>
      <c r="P405" s="443"/>
      <c r="Q405" s="443"/>
    </row>
    <row r="406" spans="6:17" ht="25.15" customHeight="1">
      <c r="F406" s="453"/>
      <c r="G406" s="443"/>
      <c r="H406" s="443"/>
      <c r="I406" s="443"/>
      <c r="J406" s="443"/>
      <c r="K406" s="443"/>
      <c r="L406" s="443"/>
      <c r="M406" s="443"/>
      <c r="N406" s="443"/>
      <c r="O406" s="443"/>
      <c r="P406" s="443"/>
      <c r="Q406" s="443"/>
    </row>
    <row r="407" spans="6:17" ht="25.15" customHeight="1">
      <c r="F407" s="453"/>
      <c r="G407" s="443"/>
      <c r="H407" s="443"/>
      <c r="I407" s="443"/>
      <c r="J407" s="443"/>
      <c r="K407" s="443"/>
      <c r="L407" s="443"/>
      <c r="M407" s="443"/>
      <c r="N407" s="443"/>
      <c r="O407" s="443"/>
      <c r="P407" s="443"/>
      <c r="Q407" s="443"/>
    </row>
    <row r="408" spans="6:17" ht="25.15" customHeight="1">
      <c r="F408" s="453"/>
      <c r="G408" s="443"/>
      <c r="H408" s="443"/>
      <c r="I408" s="443"/>
      <c r="J408" s="443"/>
      <c r="K408" s="443"/>
      <c r="L408" s="443"/>
      <c r="M408" s="443"/>
      <c r="N408" s="443"/>
      <c r="O408" s="443"/>
      <c r="P408" s="443"/>
      <c r="Q408" s="443"/>
    </row>
    <row r="409" spans="6:17" ht="25.15" customHeight="1">
      <c r="F409" s="453"/>
      <c r="G409" s="443"/>
      <c r="H409" s="443"/>
      <c r="I409" s="443"/>
      <c r="J409" s="443"/>
      <c r="K409" s="443"/>
      <c r="L409" s="443"/>
      <c r="M409" s="443"/>
      <c r="N409" s="443"/>
      <c r="O409" s="443"/>
      <c r="P409" s="443"/>
      <c r="Q409" s="443"/>
    </row>
    <row r="410" spans="6:17" ht="25.15" customHeight="1">
      <c r="F410" s="453"/>
      <c r="G410" s="443"/>
      <c r="H410" s="443"/>
      <c r="I410" s="443"/>
      <c r="J410" s="443"/>
      <c r="K410" s="443"/>
      <c r="L410" s="443"/>
      <c r="M410" s="443"/>
      <c r="N410" s="443"/>
      <c r="O410" s="443"/>
      <c r="P410" s="443"/>
      <c r="Q410" s="443"/>
    </row>
    <row r="411" spans="6:17" ht="25.15" customHeight="1">
      <c r="F411" s="453"/>
      <c r="G411" s="443"/>
      <c r="H411" s="443"/>
      <c r="I411" s="443"/>
      <c r="J411" s="443"/>
      <c r="K411" s="443"/>
      <c r="L411" s="443"/>
      <c r="M411" s="443"/>
      <c r="N411" s="443"/>
      <c r="O411" s="443"/>
      <c r="P411" s="443"/>
      <c r="Q411" s="443"/>
    </row>
    <row r="412" spans="6:17" ht="25.15" customHeight="1">
      <c r="F412" s="453"/>
      <c r="G412" s="443"/>
      <c r="H412" s="443"/>
      <c r="I412" s="443"/>
      <c r="J412" s="443"/>
      <c r="K412" s="443"/>
      <c r="L412" s="443"/>
      <c r="M412" s="443"/>
      <c r="N412" s="443"/>
      <c r="O412" s="443"/>
      <c r="P412" s="443"/>
      <c r="Q412" s="443"/>
    </row>
    <row r="413" spans="6:17" ht="25.15" customHeight="1">
      <c r="F413" s="453"/>
      <c r="G413" s="443"/>
      <c r="H413" s="443"/>
      <c r="I413" s="443"/>
      <c r="J413" s="443"/>
      <c r="K413" s="443"/>
      <c r="L413" s="443"/>
      <c r="M413" s="443"/>
      <c r="N413" s="443"/>
      <c r="O413" s="443"/>
      <c r="P413" s="443"/>
      <c r="Q413" s="443"/>
    </row>
    <row r="414" spans="6:17" ht="25.15" customHeight="1">
      <c r="F414" s="453"/>
      <c r="G414" s="443"/>
      <c r="H414" s="443"/>
      <c r="I414" s="443"/>
      <c r="J414" s="443"/>
      <c r="K414" s="443"/>
      <c r="L414" s="443"/>
      <c r="M414" s="443"/>
      <c r="N414" s="443"/>
      <c r="O414" s="443"/>
      <c r="P414" s="443"/>
      <c r="Q414" s="443"/>
    </row>
    <row r="415" spans="6:17" ht="25.15" customHeight="1">
      <c r="F415" s="453"/>
      <c r="G415" s="443"/>
      <c r="H415" s="443"/>
      <c r="I415" s="443"/>
      <c r="J415" s="443"/>
      <c r="K415" s="443"/>
      <c r="L415" s="443"/>
      <c r="M415" s="443"/>
      <c r="N415" s="443"/>
      <c r="O415" s="443"/>
      <c r="P415" s="443"/>
      <c r="Q415" s="443"/>
    </row>
    <row r="416" spans="6:17" ht="25.15" customHeight="1">
      <c r="F416" s="453"/>
      <c r="G416" s="443"/>
      <c r="H416" s="443"/>
      <c r="I416" s="443"/>
      <c r="J416" s="443"/>
      <c r="K416" s="443"/>
      <c r="L416" s="443"/>
      <c r="M416" s="443"/>
      <c r="N416" s="443"/>
      <c r="O416" s="443"/>
      <c r="P416" s="443"/>
      <c r="Q416" s="443"/>
    </row>
    <row r="417" spans="6:17" ht="25.15" customHeight="1">
      <c r="F417" s="453"/>
      <c r="G417" s="443"/>
      <c r="H417" s="443"/>
      <c r="I417" s="443"/>
      <c r="J417" s="443"/>
      <c r="K417" s="443"/>
      <c r="L417" s="443"/>
      <c r="M417" s="443"/>
      <c r="N417" s="443"/>
      <c r="O417" s="443"/>
      <c r="P417" s="443"/>
      <c r="Q417" s="443"/>
    </row>
    <row r="418" spans="6:17" ht="25.15" customHeight="1">
      <c r="F418" s="453"/>
      <c r="G418" s="443"/>
      <c r="H418" s="443"/>
      <c r="I418" s="443"/>
      <c r="J418" s="443"/>
      <c r="K418" s="443"/>
      <c r="L418" s="443"/>
      <c r="M418" s="443"/>
      <c r="N418" s="443"/>
      <c r="O418" s="443"/>
      <c r="P418" s="443"/>
      <c r="Q418" s="443"/>
    </row>
    <row r="419" spans="6:17" ht="25.15" customHeight="1">
      <c r="F419" s="453"/>
      <c r="G419" s="443"/>
      <c r="H419" s="443"/>
      <c r="I419" s="443"/>
      <c r="J419" s="443"/>
      <c r="K419" s="443"/>
      <c r="L419" s="443"/>
      <c r="M419" s="443"/>
      <c r="N419" s="443"/>
      <c r="O419" s="443"/>
      <c r="P419" s="443"/>
      <c r="Q419" s="443"/>
    </row>
    <row r="420" spans="6:17" ht="25.15" customHeight="1">
      <c r="F420" s="453"/>
      <c r="G420" s="443"/>
      <c r="H420" s="443"/>
      <c r="I420" s="443"/>
      <c r="J420" s="443"/>
      <c r="K420" s="443"/>
      <c r="L420" s="443"/>
      <c r="M420" s="443"/>
      <c r="N420" s="443"/>
      <c r="O420" s="443"/>
      <c r="P420" s="443"/>
      <c r="Q420" s="443"/>
    </row>
    <row r="421" spans="6:17" ht="25.15" customHeight="1">
      <c r="F421" s="453"/>
      <c r="G421" s="443"/>
      <c r="H421" s="443"/>
      <c r="I421" s="443"/>
      <c r="J421" s="443"/>
      <c r="K421" s="443"/>
      <c r="L421" s="443"/>
      <c r="M421" s="443"/>
      <c r="N421" s="443"/>
      <c r="O421" s="443"/>
      <c r="P421" s="443"/>
      <c r="Q421" s="443"/>
    </row>
    <row r="422" spans="6:17" ht="25.15" customHeight="1">
      <c r="F422" s="453"/>
      <c r="G422" s="443"/>
      <c r="H422" s="443"/>
      <c r="I422" s="443"/>
      <c r="J422" s="443"/>
      <c r="K422" s="443"/>
      <c r="L422" s="443"/>
      <c r="M422" s="443"/>
      <c r="N422" s="443"/>
      <c r="O422" s="443"/>
      <c r="P422" s="443"/>
      <c r="Q422" s="443"/>
    </row>
    <row r="423" spans="6:17" ht="25.15" customHeight="1">
      <c r="F423" s="453"/>
      <c r="G423" s="443"/>
      <c r="H423" s="443"/>
      <c r="I423" s="443"/>
      <c r="J423" s="443"/>
      <c r="K423" s="443"/>
      <c r="L423" s="443"/>
      <c r="M423" s="443"/>
      <c r="N423" s="443"/>
      <c r="O423" s="443"/>
      <c r="P423" s="443"/>
      <c r="Q423" s="443"/>
    </row>
    <row r="424" spans="6:17" ht="25.15" customHeight="1">
      <c r="F424" s="453"/>
      <c r="G424" s="443"/>
      <c r="H424" s="443"/>
      <c r="I424" s="443"/>
      <c r="J424" s="443"/>
      <c r="K424" s="443"/>
      <c r="L424" s="443"/>
      <c r="M424" s="443"/>
      <c r="N424" s="443"/>
      <c r="O424" s="443"/>
      <c r="P424" s="443"/>
      <c r="Q424" s="443"/>
    </row>
    <row r="425" spans="6:17" ht="25.15" customHeight="1">
      <c r="F425" s="453"/>
      <c r="G425" s="443"/>
      <c r="H425" s="443"/>
      <c r="I425" s="443"/>
      <c r="J425" s="443"/>
      <c r="K425" s="443"/>
      <c r="L425" s="443"/>
      <c r="M425" s="443"/>
      <c r="N425" s="443"/>
      <c r="O425" s="443"/>
      <c r="P425" s="443"/>
      <c r="Q425" s="443"/>
    </row>
    <row r="426" spans="6:17" ht="25.15" customHeight="1">
      <c r="F426" s="453"/>
      <c r="G426" s="443"/>
      <c r="H426" s="443"/>
      <c r="I426" s="443"/>
      <c r="J426" s="443"/>
      <c r="K426" s="443"/>
      <c r="L426" s="443"/>
      <c r="M426" s="443"/>
      <c r="N426" s="443"/>
      <c r="O426" s="443"/>
      <c r="P426" s="443"/>
      <c r="Q426" s="443"/>
    </row>
    <row r="427" spans="6:17" ht="25.15" customHeight="1">
      <c r="F427" s="453"/>
      <c r="G427" s="443"/>
      <c r="H427" s="443"/>
      <c r="I427" s="443"/>
      <c r="J427" s="443"/>
      <c r="K427" s="443"/>
      <c r="L427" s="443"/>
      <c r="M427" s="443"/>
      <c r="N427" s="443"/>
      <c r="O427" s="443"/>
      <c r="P427" s="443"/>
      <c r="Q427" s="443"/>
    </row>
    <row r="428" spans="6:17" ht="25.15" customHeight="1">
      <c r="F428" s="453"/>
      <c r="G428" s="443"/>
      <c r="H428" s="443"/>
      <c r="I428" s="443"/>
      <c r="J428" s="443"/>
      <c r="K428" s="443"/>
      <c r="L428" s="443"/>
      <c r="M428" s="443"/>
      <c r="N428" s="443"/>
      <c r="O428" s="443"/>
      <c r="P428" s="443"/>
      <c r="Q428" s="443"/>
    </row>
    <row r="429" spans="6:17" ht="25.15" customHeight="1">
      <c r="F429" s="453"/>
      <c r="G429" s="443"/>
      <c r="H429" s="443"/>
      <c r="I429" s="443"/>
      <c r="J429" s="443"/>
      <c r="K429" s="443"/>
      <c r="L429" s="443"/>
      <c r="M429" s="443"/>
      <c r="N429" s="443"/>
      <c r="O429" s="443"/>
      <c r="P429" s="443"/>
      <c r="Q429" s="443"/>
    </row>
    <row r="430" spans="6:17" ht="25.15" customHeight="1">
      <c r="F430" s="453"/>
      <c r="G430" s="443"/>
      <c r="H430" s="443"/>
      <c r="I430" s="443"/>
      <c r="J430" s="443"/>
      <c r="K430" s="443"/>
      <c r="L430" s="443"/>
      <c r="M430" s="443"/>
      <c r="N430" s="443"/>
      <c r="O430" s="443"/>
      <c r="P430" s="443"/>
      <c r="Q430" s="443"/>
    </row>
    <row r="431" spans="6:17" ht="25.15" customHeight="1">
      <c r="F431" s="453"/>
      <c r="G431" s="443"/>
      <c r="H431" s="443"/>
      <c r="I431" s="443"/>
      <c r="J431" s="443"/>
      <c r="K431" s="443"/>
      <c r="L431" s="443"/>
      <c r="M431" s="443"/>
      <c r="N431" s="443"/>
      <c r="O431" s="443"/>
      <c r="P431" s="443"/>
      <c r="Q431" s="443"/>
    </row>
    <row r="432" spans="6:17" ht="25.15" customHeight="1">
      <c r="F432" s="453"/>
      <c r="G432" s="443"/>
      <c r="H432" s="443"/>
      <c r="I432" s="443"/>
      <c r="J432" s="443"/>
      <c r="K432" s="443"/>
      <c r="L432" s="443"/>
      <c r="M432" s="443"/>
      <c r="N432" s="443"/>
      <c r="O432" s="443"/>
      <c r="P432" s="443"/>
      <c r="Q432" s="443"/>
    </row>
    <row r="433" spans="6:17" ht="25.15" customHeight="1">
      <c r="F433" s="453"/>
      <c r="G433" s="443"/>
      <c r="H433" s="443"/>
      <c r="I433" s="443"/>
      <c r="J433" s="443"/>
      <c r="K433" s="443"/>
      <c r="L433" s="443"/>
      <c r="M433" s="443"/>
      <c r="N433" s="443"/>
      <c r="O433" s="443"/>
      <c r="P433" s="443"/>
      <c r="Q433" s="443"/>
    </row>
    <row r="434" spans="6:17" ht="25.15" customHeight="1">
      <c r="F434" s="453"/>
      <c r="G434" s="443"/>
      <c r="H434" s="443"/>
      <c r="I434" s="443"/>
      <c r="J434" s="443"/>
      <c r="K434" s="443"/>
      <c r="L434" s="443"/>
      <c r="M434" s="443"/>
      <c r="N434" s="443"/>
      <c r="O434" s="443"/>
      <c r="P434" s="443"/>
      <c r="Q434" s="443"/>
    </row>
    <row r="435" spans="6:17" ht="25.15" customHeight="1">
      <c r="F435" s="453"/>
      <c r="G435" s="443"/>
      <c r="H435" s="443"/>
      <c r="I435" s="443"/>
      <c r="J435" s="443"/>
      <c r="K435" s="443"/>
      <c r="L435" s="443"/>
      <c r="M435" s="443"/>
      <c r="N435" s="443"/>
      <c r="O435" s="443"/>
      <c r="P435" s="443"/>
      <c r="Q435" s="443"/>
    </row>
    <row r="436" spans="6:17" ht="25.15" customHeight="1">
      <c r="F436" s="453"/>
      <c r="G436" s="443"/>
      <c r="H436" s="443"/>
      <c r="I436" s="443"/>
      <c r="J436" s="443"/>
      <c r="K436" s="443"/>
      <c r="L436" s="443"/>
      <c r="M436" s="443"/>
      <c r="N436" s="443"/>
      <c r="O436" s="443"/>
      <c r="P436" s="443"/>
      <c r="Q436" s="443"/>
    </row>
    <row r="437" spans="6:17" ht="25.15" customHeight="1">
      <c r="F437" s="453"/>
      <c r="G437" s="443"/>
      <c r="H437" s="443"/>
      <c r="I437" s="443"/>
      <c r="J437" s="443"/>
      <c r="K437" s="443"/>
      <c r="L437" s="443"/>
      <c r="M437" s="443"/>
      <c r="N437" s="443"/>
      <c r="O437" s="443"/>
      <c r="P437" s="443"/>
      <c r="Q437" s="443"/>
    </row>
    <row r="438" spans="6:17" ht="25.15" customHeight="1">
      <c r="F438" s="453"/>
      <c r="G438" s="443"/>
      <c r="H438" s="443"/>
      <c r="I438" s="443"/>
      <c r="J438" s="443"/>
      <c r="K438" s="443"/>
      <c r="L438" s="443"/>
      <c r="M438" s="443"/>
      <c r="N438" s="443"/>
      <c r="O438" s="443"/>
      <c r="P438" s="443"/>
      <c r="Q438" s="443"/>
    </row>
    <row r="439" spans="6:17" ht="25.15" customHeight="1">
      <c r="F439" s="453"/>
      <c r="G439" s="443"/>
      <c r="H439" s="443"/>
      <c r="I439" s="443"/>
      <c r="J439" s="443"/>
      <c r="K439" s="443"/>
      <c r="L439" s="443"/>
      <c r="M439" s="443"/>
      <c r="N439" s="443"/>
      <c r="O439" s="443"/>
      <c r="P439" s="443"/>
      <c r="Q439" s="443"/>
    </row>
    <row r="440" spans="6:17" ht="25.15" customHeight="1">
      <c r="F440" s="453"/>
      <c r="G440" s="443"/>
      <c r="H440" s="443"/>
      <c r="I440" s="443"/>
      <c r="J440" s="443"/>
      <c r="K440" s="443"/>
      <c r="L440" s="443"/>
      <c r="M440" s="443"/>
      <c r="N440" s="443"/>
      <c r="O440" s="443"/>
      <c r="P440" s="443"/>
      <c r="Q440" s="443"/>
    </row>
    <row r="441" spans="6:17" ht="25.15" customHeight="1">
      <c r="F441" s="453"/>
      <c r="G441" s="443"/>
      <c r="H441" s="443"/>
      <c r="I441" s="443"/>
      <c r="J441" s="443"/>
      <c r="K441" s="443"/>
      <c r="L441" s="443"/>
      <c r="M441" s="443"/>
      <c r="N441" s="443"/>
      <c r="O441" s="443"/>
      <c r="P441" s="443"/>
      <c r="Q441" s="443"/>
    </row>
    <row r="442" spans="6:17" ht="25.15" customHeight="1">
      <c r="F442" s="453"/>
      <c r="G442" s="443"/>
      <c r="H442" s="443"/>
      <c r="I442" s="443"/>
      <c r="J442" s="443"/>
      <c r="K442" s="443"/>
      <c r="L442" s="443"/>
      <c r="M442" s="443"/>
      <c r="N442" s="443"/>
      <c r="O442" s="443"/>
      <c r="P442" s="443"/>
      <c r="Q442" s="443"/>
    </row>
    <row r="443" spans="6:17" ht="25.15" customHeight="1">
      <c r="F443" s="453"/>
      <c r="G443" s="443"/>
      <c r="H443" s="443"/>
      <c r="I443" s="443"/>
      <c r="J443" s="443"/>
      <c r="K443" s="443"/>
      <c r="L443" s="443"/>
      <c r="M443" s="443"/>
      <c r="N443" s="443"/>
      <c r="O443" s="443"/>
      <c r="P443" s="443"/>
      <c r="Q443" s="443"/>
    </row>
    <row r="444" spans="6:17" ht="25.15" customHeight="1">
      <c r="F444" s="453"/>
      <c r="G444" s="443"/>
      <c r="H444" s="443"/>
      <c r="I444" s="443"/>
      <c r="J444" s="443"/>
      <c r="K444" s="443"/>
      <c r="L444" s="443"/>
      <c r="M444" s="443"/>
      <c r="N444" s="443"/>
      <c r="O444" s="443"/>
      <c r="P444" s="443"/>
      <c r="Q444" s="443"/>
    </row>
    <row r="445" spans="6:17" ht="25.15" customHeight="1">
      <c r="F445" s="453"/>
      <c r="G445" s="443"/>
      <c r="H445" s="443"/>
      <c r="I445" s="443"/>
      <c r="J445" s="443"/>
      <c r="K445" s="443"/>
      <c r="L445" s="443"/>
      <c r="M445" s="443"/>
      <c r="N445" s="443"/>
      <c r="O445" s="443"/>
      <c r="P445" s="443"/>
      <c r="Q445" s="443"/>
    </row>
    <row r="446" spans="6:17" ht="25.15" customHeight="1">
      <c r="F446" s="453"/>
      <c r="G446" s="443"/>
      <c r="H446" s="443"/>
      <c r="I446" s="443"/>
      <c r="J446" s="443"/>
      <c r="K446" s="443"/>
      <c r="L446" s="443"/>
      <c r="M446" s="443"/>
      <c r="N446" s="443"/>
      <c r="O446" s="443"/>
      <c r="P446" s="443"/>
      <c r="Q446" s="443"/>
    </row>
    <row r="447" spans="6:17" ht="25.15" customHeight="1">
      <c r="F447" s="453"/>
      <c r="G447" s="443"/>
      <c r="H447" s="443"/>
      <c r="I447" s="443"/>
      <c r="J447" s="443"/>
      <c r="K447" s="443"/>
      <c r="L447" s="443"/>
      <c r="M447" s="443"/>
      <c r="N447" s="443"/>
      <c r="O447" s="443"/>
      <c r="P447" s="443"/>
      <c r="Q447" s="443"/>
    </row>
    <row r="448" spans="6:17" ht="25.15" customHeight="1">
      <c r="F448" s="453"/>
      <c r="G448" s="443"/>
      <c r="H448" s="443"/>
      <c r="I448" s="443"/>
      <c r="J448" s="443"/>
      <c r="K448" s="443"/>
      <c r="L448" s="443"/>
      <c r="M448" s="443"/>
      <c r="N448" s="443"/>
      <c r="O448" s="443"/>
      <c r="P448" s="443"/>
      <c r="Q448" s="443"/>
    </row>
    <row r="449" spans="6:17" ht="25.15" customHeight="1">
      <c r="F449" s="453"/>
      <c r="G449" s="443"/>
      <c r="H449" s="443"/>
      <c r="I449" s="443"/>
      <c r="J449" s="443"/>
      <c r="K449" s="443"/>
      <c r="L449" s="443"/>
      <c r="M449" s="443"/>
      <c r="N449" s="443"/>
      <c r="O449" s="443"/>
      <c r="P449" s="443"/>
      <c r="Q449" s="443"/>
    </row>
    <row r="450" spans="6:17" ht="25.15" customHeight="1">
      <c r="F450" s="453"/>
      <c r="G450" s="443"/>
      <c r="H450" s="443"/>
      <c r="I450" s="443"/>
      <c r="J450" s="443"/>
      <c r="K450" s="443"/>
      <c r="L450" s="443"/>
      <c r="M450" s="443"/>
      <c r="N450" s="443"/>
      <c r="O450" s="443"/>
      <c r="P450" s="443"/>
      <c r="Q450" s="443"/>
    </row>
    <row r="451" spans="6:17" ht="25.15" customHeight="1">
      <c r="F451" s="453"/>
      <c r="G451" s="443"/>
      <c r="H451" s="443"/>
      <c r="I451" s="443"/>
      <c r="J451" s="443"/>
      <c r="K451" s="443"/>
      <c r="L451" s="443"/>
      <c r="M451" s="443"/>
      <c r="N451" s="443"/>
      <c r="O451" s="443"/>
      <c r="P451" s="443"/>
      <c r="Q451" s="443"/>
    </row>
    <row r="452" spans="6:17" ht="25.15" customHeight="1">
      <c r="F452" s="453"/>
      <c r="G452" s="443"/>
      <c r="H452" s="443"/>
      <c r="I452" s="443"/>
      <c r="J452" s="443"/>
      <c r="K452" s="443"/>
      <c r="L452" s="443"/>
      <c r="M452" s="443"/>
      <c r="N452" s="443"/>
      <c r="O452" s="443"/>
      <c r="P452" s="443"/>
      <c r="Q452" s="443"/>
    </row>
    <row r="453" spans="6:17" ht="25.15" customHeight="1">
      <c r="F453" s="453"/>
      <c r="G453" s="443"/>
      <c r="H453" s="443"/>
      <c r="I453" s="443"/>
      <c r="J453" s="443"/>
      <c r="K453" s="443"/>
      <c r="L453" s="443"/>
      <c r="M453" s="443"/>
      <c r="N453" s="443"/>
      <c r="O453" s="443"/>
      <c r="P453" s="443"/>
      <c r="Q453" s="443"/>
    </row>
    <row r="454" spans="6:17" ht="25.15" customHeight="1">
      <c r="F454" s="453"/>
      <c r="G454" s="443"/>
      <c r="H454" s="443"/>
      <c r="I454" s="443"/>
      <c r="J454" s="443"/>
      <c r="K454" s="443"/>
      <c r="L454" s="443"/>
      <c r="M454" s="443"/>
      <c r="N454" s="443"/>
      <c r="O454" s="443"/>
      <c r="P454" s="443"/>
      <c r="Q454" s="443"/>
    </row>
    <row r="455" spans="6:17" ht="25.15" customHeight="1">
      <c r="F455" s="453"/>
      <c r="G455" s="443"/>
      <c r="H455" s="443"/>
      <c r="I455" s="443"/>
      <c r="J455" s="443"/>
      <c r="K455" s="443"/>
      <c r="L455" s="443"/>
      <c r="M455" s="443"/>
      <c r="N455" s="443"/>
      <c r="O455" s="443"/>
      <c r="P455" s="443"/>
      <c r="Q455" s="443"/>
    </row>
    <row r="456" spans="6:17" ht="25.1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lWStaSxms2n8Ln0T/iPy4k8NnJdrdjktBQILQRYUQlXpqYAWgedUy6V98gkco7mErf6Nu512qVixeIhz8F741Q==" saltValue="juSNS4lIvWAFXakW4TB3Ug=="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C2" sqref="C2"/>
    </sheetView>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115" t="s">
        <v>259</v>
      </c>
      <c r="C1" s="1115"/>
      <c r="D1" s="1115"/>
      <c r="E1" s="1115"/>
      <c r="F1" s="480"/>
      <c r="G1" s="480"/>
    </row>
    <row r="2" spans="2:7" ht="26.25">
      <c r="B2" s="1115" t="s">
        <v>751</v>
      </c>
      <c r="C2" s="1115"/>
      <c r="D2" s="1115"/>
      <c r="E2" s="1115"/>
      <c r="F2" s="480"/>
      <c r="G2" s="480"/>
    </row>
    <row r="3" spans="2:7" ht="21">
      <c r="B3" s="1072"/>
      <c r="C3" s="1072"/>
      <c r="D3" s="1072"/>
      <c r="E3" s="1072"/>
      <c r="F3" s="480"/>
      <c r="G3" s="480"/>
    </row>
    <row r="4" spans="2:7" ht="21.75" thickBot="1">
      <c r="B4" s="1189"/>
      <c r="C4" s="1189"/>
      <c r="D4" s="1189"/>
      <c r="E4" s="1189"/>
      <c r="F4" s="480"/>
      <c r="G4" s="480"/>
    </row>
    <row r="5" spans="2:7" ht="46.5" customHeight="1">
      <c r="B5" s="1201" t="s">
        <v>664</v>
      </c>
      <c r="C5" s="1339" t="s">
        <v>464</v>
      </c>
      <c r="D5" s="1340"/>
      <c r="E5" s="1341"/>
    </row>
    <row r="6" spans="2:7">
      <c r="B6" s="1202"/>
      <c r="C6" s="1187" t="s">
        <v>465</v>
      </c>
      <c r="D6" s="482" t="s">
        <v>466</v>
      </c>
      <c r="E6" s="483" t="s">
        <v>467</v>
      </c>
    </row>
    <row r="7" spans="2:7" ht="29.25" customHeight="1">
      <c r="B7" s="1203"/>
      <c r="C7" s="1193"/>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89"/>
    </row>
    <row r="12" spans="2:7" ht="15" customHeight="1">
      <c r="B12" s="493" t="s">
        <v>604</v>
      </c>
      <c r="C12" s="494"/>
      <c r="D12" s="494"/>
      <c r="E12" s="495"/>
    </row>
    <row r="13" spans="2:7" ht="48.75" customHeight="1">
      <c r="B13" s="1204" t="s">
        <v>665</v>
      </c>
      <c r="C13" s="1342" t="s">
        <v>464</v>
      </c>
      <c r="D13" s="1343"/>
      <c r="E13" s="1344"/>
    </row>
    <row r="14" spans="2:7">
      <c r="B14" s="1202"/>
      <c r="C14" s="1187" t="s">
        <v>465</v>
      </c>
      <c r="D14" s="496" t="s">
        <v>466</v>
      </c>
      <c r="E14" s="497" t="s">
        <v>467</v>
      </c>
    </row>
    <row r="15" spans="2:7">
      <c r="B15" s="1203"/>
      <c r="C15" s="1193"/>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205" t="s">
        <v>666</v>
      </c>
      <c r="C23" s="1345" t="s">
        <v>464</v>
      </c>
      <c r="D23" s="1346"/>
      <c r="E23" s="1347"/>
    </row>
    <row r="24" spans="2:5">
      <c r="B24" s="1206"/>
      <c r="C24" s="1187" t="s">
        <v>465</v>
      </c>
      <c r="D24" s="507" t="s">
        <v>466</v>
      </c>
      <c r="E24" s="508" t="s">
        <v>467</v>
      </c>
    </row>
    <row r="25" spans="2:5">
      <c r="B25" s="1207"/>
      <c r="C25" s="1193"/>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96" t="s">
        <v>667</v>
      </c>
      <c r="C31" s="1348" t="s">
        <v>464</v>
      </c>
      <c r="D31" s="1349"/>
      <c r="E31" s="1350"/>
    </row>
    <row r="32" spans="2:5">
      <c r="B32" s="1197"/>
      <c r="C32" s="1187" t="s">
        <v>465</v>
      </c>
      <c r="D32" s="482" t="s">
        <v>466</v>
      </c>
      <c r="E32" s="508" t="s">
        <v>467</v>
      </c>
    </row>
    <row r="33" spans="2:7">
      <c r="B33" s="1198"/>
      <c r="C33" s="1193"/>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199" t="s">
        <v>471</v>
      </c>
      <c r="C42" s="1199"/>
      <c r="D42" s="1199"/>
      <c r="E42" s="1199"/>
    </row>
    <row r="43" spans="2:7">
      <c r="B43" s="1199"/>
      <c r="C43" s="1199"/>
      <c r="D43" s="1199"/>
      <c r="E43" s="1199"/>
    </row>
    <row r="44" spans="2:7">
      <c r="B44" s="525"/>
      <c r="C44" s="525"/>
      <c r="D44" s="525"/>
      <c r="E44" s="525"/>
    </row>
    <row r="45" spans="2:7">
      <c r="B45" s="526" t="s">
        <v>668</v>
      </c>
      <c r="C45" s="527"/>
      <c r="D45" s="527"/>
      <c r="E45" s="527"/>
    </row>
    <row r="46" spans="2:7">
      <c r="B46" s="528" t="str">
        <f>"the maximum tuition rate.  Maximum credit tuition rate = "&amp;TEXT(E16,"$0.00")</f>
        <v>the maximum tuition rate.  Maximum credit tuition rate = $82.78</v>
      </c>
      <c r="C46" s="1336"/>
      <c r="D46" s="526"/>
      <c r="E46" s="526"/>
    </row>
    <row r="47" spans="2:7">
      <c r="B47" s="528" t="s">
        <v>553</v>
      </c>
      <c r="D47" s="526"/>
      <c r="E47" s="526"/>
      <c r="G47" s="1337"/>
    </row>
    <row r="48" spans="2:7">
      <c r="D48" s="526"/>
      <c r="E48" s="526"/>
    </row>
    <row r="49" spans="2:6" ht="15" customHeight="1">
      <c r="B49" s="1199"/>
      <c r="C49" s="1199"/>
      <c r="D49" s="1199"/>
      <c r="E49" s="1199"/>
    </row>
    <row r="50" spans="2:6">
      <c r="B50" s="1199"/>
      <c r="C50" s="1199"/>
      <c r="D50" s="1199"/>
      <c r="E50" s="1199"/>
    </row>
    <row r="51" spans="2:6">
      <c r="B51" s="1199"/>
      <c r="C51" s="1199"/>
      <c r="D51" s="1199"/>
      <c r="E51" s="1199"/>
    </row>
    <row r="52" spans="2:6" ht="21">
      <c r="B52" s="1072" t="str">
        <f>B1</f>
        <v>THE FLORIDA COLLEGE SYSTEM</v>
      </c>
      <c r="C52" s="1072"/>
      <c r="D52" s="1072"/>
      <c r="E52" s="1072"/>
    </row>
    <row r="53" spans="2:6" ht="21">
      <c r="B53" s="1072" t="str">
        <f>B2&amp;" , cont."</f>
        <v>FALL 2018-19 TUITION INCREASED BY 0% , cont.</v>
      </c>
      <c r="C53" s="1072"/>
      <c r="D53" s="1072"/>
      <c r="E53" s="1072"/>
    </row>
    <row r="54" spans="2:6" ht="21">
      <c r="B54" s="1072"/>
      <c r="C54" s="1072"/>
      <c r="D54" s="1072"/>
      <c r="E54" s="1072"/>
    </row>
    <row r="55" spans="2:6" ht="16.5" thickBot="1">
      <c r="B55" s="505"/>
      <c r="C55" s="522"/>
      <c r="D55" s="522"/>
      <c r="E55" s="522"/>
    </row>
    <row r="56" spans="2:6" ht="33" customHeight="1">
      <c r="B56" s="1190" t="s">
        <v>638</v>
      </c>
      <c r="C56" s="1345" t="s">
        <v>464</v>
      </c>
      <c r="D56" s="1346"/>
      <c r="E56" s="1353"/>
      <c r="F56" s="1351"/>
    </row>
    <row r="57" spans="2:6">
      <c r="B57" s="1191"/>
      <c r="C57" s="1187" t="s">
        <v>465</v>
      </c>
      <c r="D57" s="482" t="s">
        <v>466</v>
      </c>
      <c r="E57" s="508" t="s">
        <v>467</v>
      </c>
    </row>
    <row r="58" spans="2:6">
      <c r="B58" s="1192"/>
      <c r="C58" s="1193"/>
      <c r="D58" s="484">
        <v>-0.05</v>
      </c>
      <c r="E58" s="509">
        <v>0.05</v>
      </c>
    </row>
    <row r="59" spans="2:6" ht="15" customHeight="1">
      <c r="B59" s="510" t="s">
        <v>7</v>
      </c>
      <c r="C59" s="511">
        <v>69.900000000000006</v>
      </c>
      <c r="D59" s="511">
        <f>ROUND(C59*(1+D58),2)</f>
        <v>66.41</v>
      </c>
      <c r="E59" s="512">
        <f>ROUND(C59*(1+E58),2)</f>
        <v>73.400000000000006</v>
      </c>
    </row>
    <row r="60" spans="2:6" ht="15" customHeight="1">
      <c r="B60" s="513" t="s">
        <v>554</v>
      </c>
      <c r="C60" s="511">
        <v>6.99</v>
      </c>
      <c r="D60" s="529">
        <f>ROUND(D59*'DISCRETIONARY FEE PERCENTAGES'!$B$6,2)</f>
        <v>6.64</v>
      </c>
      <c r="E60" s="512">
        <f>ROUND(E59*'DISCRETIONARY FEE PERCENTAGES'!$B$6,2)</f>
        <v>7.34</v>
      </c>
    </row>
    <row r="61" spans="2:6" ht="15" customHeight="1">
      <c r="B61" s="513" t="s">
        <v>546</v>
      </c>
      <c r="C61" s="511">
        <v>3.5</v>
      </c>
      <c r="D61" s="529">
        <f>ROUND(D59*'DISCRETIONARY FEE PERCENTAGES'!$B$25,2)</f>
        <v>3.32</v>
      </c>
      <c r="E61" s="512">
        <f>ROUND(E59*'DISCRETIONARY FEE PERCENTAGES'!$B$25,2)</f>
        <v>3.67</v>
      </c>
    </row>
    <row r="62" spans="2:6" ht="15" customHeight="1">
      <c r="B62" s="513" t="s">
        <v>555</v>
      </c>
      <c r="C62" s="511">
        <v>3.5</v>
      </c>
      <c r="D62" s="529">
        <f>ROUND(D59*'DISCRETIONARY FEE PERCENTAGES'!$B$19,2)</f>
        <v>3.32</v>
      </c>
      <c r="E62" s="512">
        <f>ROUND(E59*'DISCRETIONARY FEE PERCENTAGES'!$B$19,2)</f>
        <v>3.67</v>
      </c>
    </row>
    <row r="63" spans="2:6" ht="33" customHeight="1">
      <c r="B63" s="1194" t="s">
        <v>639</v>
      </c>
      <c r="C63" s="1342" t="s">
        <v>464</v>
      </c>
      <c r="D63" s="1343"/>
      <c r="E63" s="1352"/>
    </row>
    <row r="64" spans="2:6">
      <c r="B64" s="1191"/>
      <c r="C64" s="1187" t="s">
        <v>465</v>
      </c>
      <c r="D64" s="482" t="s">
        <v>466</v>
      </c>
      <c r="E64" s="508" t="s">
        <v>467</v>
      </c>
    </row>
    <row r="65" spans="2:16">
      <c r="B65" s="1192"/>
      <c r="C65" s="1193"/>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184" t="s">
        <v>523</v>
      </c>
      <c r="C72" s="1345" t="s">
        <v>622</v>
      </c>
      <c r="D72" s="1346"/>
      <c r="E72" s="1347"/>
    </row>
    <row r="73" spans="2:16">
      <c r="B73" s="1185"/>
      <c r="C73" s="1187" t="s">
        <v>465</v>
      </c>
      <c r="D73" s="534" t="s">
        <v>466</v>
      </c>
      <c r="E73" s="535" t="s">
        <v>467</v>
      </c>
    </row>
    <row r="74" spans="2:16">
      <c r="B74" s="1186"/>
      <c r="C74" s="1188"/>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200"/>
      <c r="G76" s="1200"/>
      <c r="H76" s="1200"/>
      <c r="I76" s="1200"/>
      <c r="J76" s="1200"/>
      <c r="K76" s="1200"/>
      <c r="L76" s="1200"/>
      <c r="M76" s="1200"/>
      <c r="N76" s="1200"/>
      <c r="O76" s="1200"/>
      <c r="P76" s="1200"/>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200"/>
      <c r="G78" s="1200"/>
      <c r="H78" s="1200"/>
      <c r="I78" s="1200"/>
      <c r="J78" s="1200"/>
      <c r="K78" s="1200"/>
      <c r="L78" s="1200"/>
      <c r="M78" s="1200"/>
      <c r="N78" s="1200"/>
      <c r="O78" s="1200"/>
      <c r="P78" s="1200"/>
    </row>
    <row r="79" spans="2:16" ht="15" customHeight="1">
      <c r="B79" s="523" t="s">
        <v>474</v>
      </c>
      <c r="C79" s="524"/>
      <c r="D79" s="524"/>
      <c r="E79" s="524"/>
    </row>
    <row r="80" spans="2:16" ht="15" customHeight="1">
      <c r="B80" s="523"/>
      <c r="C80" s="524"/>
      <c r="D80" s="524"/>
      <c r="E80" s="524"/>
    </row>
    <row r="81" spans="2:5" ht="30.6" customHeight="1">
      <c r="B81" s="1195" t="s">
        <v>603</v>
      </c>
      <c r="C81" s="1195"/>
      <c r="D81" s="1195"/>
      <c r="E81" s="1195"/>
    </row>
    <row r="83" spans="2:5" ht="15" customHeight="1"/>
    <row r="85" spans="2:5">
      <c r="B85" s="526"/>
      <c r="C85" s="1338"/>
      <c r="D85" s="1338"/>
      <c r="E85" s="1338"/>
    </row>
    <row r="86" spans="2:5">
      <c r="B86" s="526"/>
      <c r="C86" s="527"/>
      <c r="D86" s="527"/>
      <c r="E86" s="527"/>
    </row>
    <row r="87" spans="2:5">
      <c r="B87" s="526"/>
      <c r="C87" s="1336"/>
      <c r="D87" s="526"/>
      <c r="E87" s="526"/>
    </row>
    <row r="88" spans="2:5">
      <c r="B88" s="526"/>
      <c r="C88" s="1336"/>
      <c r="D88" s="526"/>
      <c r="E88" s="526"/>
    </row>
    <row r="89" spans="2:5">
      <c r="B89" s="526"/>
      <c r="C89" s="526"/>
      <c r="D89" s="526"/>
      <c r="E89" s="526"/>
    </row>
    <row r="90" spans="2:5">
      <c r="B90" s="526"/>
      <c r="C90" s="526"/>
      <c r="D90" s="526"/>
      <c r="E90" s="526"/>
    </row>
    <row r="91" spans="2:5">
      <c r="B91" s="1189"/>
      <c r="C91" s="1189"/>
      <c r="D91" s="1189"/>
      <c r="E91" s="1189"/>
    </row>
    <row r="92" spans="2:5">
      <c r="B92" s="1189"/>
      <c r="C92" s="1189"/>
      <c r="D92" s="1189"/>
      <c r="E92" s="1189"/>
    </row>
  </sheetData>
  <sheetProtection algorithmName="SHA-512" hashValue="NDOU+uTOXcwH1MPOyNiN7AZca3NpOQc7dlRsTuvv+Ej1zB/TDMrfcxa53bxns3ouuFxKc7Xmys/WjxbqTyxrCg==" saltValue="TJK1otZhlS6tirzBo6+kQ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G30" sqref="G30"/>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96" t="s">
        <v>259</v>
      </c>
      <c r="B1" s="1296"/>
      <c r="C1" s="1296"/>
    </row>
    <row r="2" spans="1:21" s="141" customFormat="1" ht="21" customHeight="1" thickBot="1">
      <c r="A2" s="1296" t="s">
        <v>738</v>
      </c>
      <c r="B2" s="1296"/>
      <c r="C2" s="1296"/>
      <c r="D2" s="142"/>
      <c r="E2" s="142"/>
      <c r="F2" s="142"/>
      <c r="G2" s="142"/>
      <c r="H2" s="142"/>
      <c r="I2" s="142"/>
      <c r="J2" s="142"/>
      <c r="K2" s="142"/>
      <c r="L2" s="142"/>
      <c r="M2" s="142"/>
      <c r="N2" s="142"/>
      <c r="O2" s="142"/>
      <c r="P2" s="142"/>
      <c r="Q2" s="142"/>
      <c r="R2" s="142"/>
      <c r="S2" s="142"/>
      <c r="T2" s="142"/>
      <c r="U2" s="142"/>
    </row>
    <row r="3" spans="1:21" s="141" customFormat="1" ht="26.45" customHeight="1">
      <c r="A3" s="1354" t="s">
        <v>411</v>
      </c>
      <c r="B3" s="1355"/>
      <c r="C3" s="1356"/>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57" t="s">
        <v>415</v>
      </c>
      <c r="B7" s="1358"/>
      <c r="C7" s="1359"/>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57" t="s">
        <v>417</v>
      </c>
      <c r="B11" s="1358"/>
      <c r="C11" s="1359"/>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57" t="s">
        <v>423</v>
      </c>
      <c r="B17" s="1358"/>
      <c r="C17" s="1359"/>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57" t="s">
        <v>426</v>
      </c>
      <c r="B20" s="1358"/>
      <c r="C20" s="1359"/>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57" t="s">
        <v>427</v>
      </c>
      <c r="B23" s="1358"/>
      <c r="C23" s="1359"/>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57" t="s">
        <v>428</v>
      </c>
      <c r="B26" s="1358"/>
      <c r="C26" s="1359"/>
      <c r="D26" s="142"/>
      <c r="E26" s="142"/>
      <c r="F26" s="142"/>
      <c r="G26" s="142"/>
      <c r="H26" s="142"/>
      <c r="I26" s="142"/>
      <c r="J26" s="142"/>
      <c r="K26" s="142"/>
      <c r="L26" s="142"/>
      <c r="M26" s="142"/>
      <c r="N26" s="142"/>
      <c r="O26" s="142"/>
      <c r="P26" s="142"/>
      <c r="Q26" s="142"/>
      <c r="R26" s="142"/>
      <c r="S26" s="142"/>
      <c r="T26" s="142"/>
      <c r="U26" s="142"/>
    </row>
    <row r="27" spans="1:21" s="141" customFormat="1" ht="21">
      <c r="A27" s="1360" t="s">
        <v>418</v>
      </c>
      <c r="B27" s="1361">
        <v>0.05</v>
      </c>
      <c r="C27" s="1362"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63" t="s">
        <v>641</v>
      </c>
      <c r="B30" s="1363"/>
      <c r="C30" s="1363"/>
    </row>
    <row r="31" spans="1:21" ht="14.45" customHeight="1"/>
    <row r="32" spans="1:21" ht="31.15" customHeight="1">
      <c r="A32" s="1363" t="s">
        <v>642</v>
      </c>
      <c r="B32" s="1363"/>
      <c r="C32" s="1363"/>
    </row>
    <row r="33" spans="1:3" ht="14.45" customHeight="1"/>
    <row r="34" spans="1:3" ht="30" customHeight="1">
      <c r="A34" s="1363" t="s">
        <v>643</v>
      </c>
      <c r="B34" s="1363"/>
      <c r="C34" s="1363"/>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L3" sqref="L3"/>
    </sheetView>
  </sheetViews>
  <sheetFormatPr defaultRowHeight="12.75"/>
  <sheetData>
    <row r="1" spans="1:10" ht="22.15" customHeight="1">
      <c r="A1" s="1265" t="s">
        <v>259</v>
      </c>
      <c r="B1" s="1265"/>
      <c r="C1" s="1265"/>
      <c r="D1" s="1265"/>
      <c r="E1" s="1265"/>
      <c r="F1" s="1265"/>
      <c r="G1" s="1265"/>
      <c r="H1" s="1265"/>
      <c r="I1" s="1265"/>
      <c r="J1" s="1265"/>
    </row>
    <row r="2" spans="1:10" s="320" customFormat="1" ht="22.15" customHeight="1">
      <c r="A2" s="1265" t="s">
        <v>750</v>
      </c>
      <c r="B2" s="1265"/>
      <c r="C2" s="1265"/>
      <c r="D2" s="1265"/>
      <c r="E2" s="1265"/>
      <c r="F2" s="1265"/>
      <c r="G2" s="1265"/>
      <c r="H2" s="1265"/>
      <c r="I2" s="1265"/>
      <c r="J2" s="1265"/>
    </row>
    <row r="3" spans="1:10" s="320" customFormat="1" ht="22.15" customHeight="1">
      <c r="A3" s="1265" t="s">
        <v>754</v>
      </c>
      <c r="B3" s="1265"/>
      <c r="C3" s="1265"/>
      <c r="D3" s="1265"/>
      <c r="E3" s="1265"/>
      <c r="F3" s="1265"/>
      <c r="G3" s="1265"/>
      <c r="H3" s="1265"/>
      <c r="I3" s="1265"/>
      <c r="J3" s="1265"/>
    </row>
    <row r="4" spans="1:10" ht="26.45" customHeight="1">
      <c r="A4" s="1266" t="s">
        <v>658</v>
      </c>
      <c r="B4" s="1266"/>
      <c r="C4" s="1266"/>
      <c r="D4" s="1266"/>
      <c r="E4" s="1266"/>
      <c r="F4" s="1266"/>
      <c r="G4" s="1266"/>
      <c r="H4" s="1266"/>
      <c r="I4" s="1266"/>
      <c r="J4" s="1266"/>
    </row>
    <row r="5" spans="1:10">
      <c r="A5" s="1267"/>
      <c r="B5" s="1267"/>
      <c r="C5" s="1267"/>
      <c r="D5" s="1267"/>
      <c r="E5" s="1267"/>
      <c r="F5" s="1267"/>
      <c r="G5" s="1267"/>
      <c r="H5" s="1267"/>
      <c r="I5" s="1267"/>
      <c r="J5" s="1267"/>
    </row>
    <row r="11" spans="1:10" ht="34.5">
      <c r="E11" s="822"/>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_x000a__x000a_"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B11" sqref="B11"/>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56" t="s">
        <v>737</v>
      </c>
      <c r="B1" s="1256"/>
      <c r="C1" s="1256"/>
      <c r="D1" s="1256"/>
      <c r="E1" s="27"/>
      <c r="F1" s="28"/>
    </row>
    <row r="2" spans="1:10" ht="33.6" customHeight="1" thickBot="1">
      <c r="A2" s="1263" t="s">
        <v>752</v>
      </c>
      <c r="B2" s="1263"/>
      <c r="C2" s="1263"/>
      <c r="D2" s="1263"/>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30" t="s">
        <v>742</v>
      </c>
      <c r="C5" s="1231"/>
      <c r="D5" s="1232"/>
      <c r="F5" s="31"/>
    </row>
    <row r="6" spans="1:10" ht="88.9" customHeight="1" thickBot="1">
      <c r="A6" s="783" t="s">
        <v>602</v>
      </c>
      <c r="B6" s="108" t="s">
        <v>616</v>
      </c>
      <c r="C6" s="124" t="s">
        <v>625</v>
      </c>
      <c r="D6" s="123" t="s">
        <v>380</v>
      </c>
      <c r="E6" s="35"/>
      <c r="F6" s="31"/>
    </row>
    <row r="7" spans="1:10" ht="25.15" customHeight="1">
      <c r="A7" s="782" t="s">
        <v>678</v>
      </c>
      <c r="B7" s="915">
        <v>31522789</v>
      </c>
      <c r="C7" s="916">
        <v>10232170</v>
      </c>
      <c r="D7" s="135">
        <f t="shared" ref="D7:D34" si="0">SUM(B7:C7)</f>
        <v>41754959</v>
      </c>
      <c r="E7" s="819"/>
      <c r="F7" s="820"/>
      <c r="G7" s="77"/>
      <c r="I7" s="77"/>
      <c r="J7" s="77"/>
    </row>
    <row r="8" spans="1:10" ht="25.15" customHeight="1">
      <c r="A8" s="746" t="s">
        <v>679</v>
      </c>
      <c r="B8" s="917">
        <v>65641104</v>
      </c>
      <c r="C8" s="917">
        <v>20622026</v>
      </c>
      <c r="D8" s="121">
        <f t="shared" si="0"/>
        <v>86263130</v>
      </c>
      <c r="E8" s="790"/>
      <c r="F8" s="77"/>
      <c r="G8" s="77"/>
      <c r="I8" s="77"/>
      <c r="J8" s="77"/>
    </row>
    <row r="9" spans="1:10" ht="25.15" customHeight="1">
      <c r="A9" s="746" t="s">
        <v>704</v>
      </c>
      <c r="B9" s="917">
        <v>16681378</v>
      </c>
      <c r="C9" s="917">
        <v>5391826</v>
      </c>
      <c r="D9" s="121">
        <f t="shared" si="0"/>
        <v>22073204</v>
      </c>
      <c r="E9" s="790"/>
      <c r="F9" s="77"/>
      <c r="G9" s="77"/>
      <c r="I9" s="77"/>
      <c r="J9" s="77"/>
    </row>
    <row r="10" spans="1:10" ht="25.15" customHeight="1">
      <c r="A10" s="746" t="s">
        <v>680</v>
      </c>
      <c r="B10" s="917">
        <v>8158970</v>
      </c>
      <c r="C10" s="917">
        <v>3127662</v>
      </c>
      <c r="D10" s="121">
        <f t="shared" si="0"/>
        <v>11286632</v>
      </c>
      <c r="E10" s="790"/>
      <c r="F10" s="77"/>
      <c r="G10" s="77"/>
      <c r="I10" s="77"/>
      <c r="J10" s="77"/>
    </row>
    <row r="11" spans="1:10" ht="25.15" customHeight="1">
      <c r="A11" s="746" t="s">
        <v>681</v>
      </c>
      <c r="B11" s="917">
        <v>37651865</v>
      </c>
      <c r="C11" s="917">
        <v>12275578</v>
      </c>
      <c r="D11" s="121">
        <f t="shared" si="0"/>
        <v>49927443</v>
      </c>
      <c r="E11" s="790"/>
      <c r="F11" s="77"/>
      <c r="G11" s="77"/>
      <c r="I11" s="77"/>
      <c r="J11" s="77"/>
    </row>
    <row r="12" spans="1:10" ht="25.15" customHeight="1">
      <c r="A12" s="746" t="s">
        <v>741</v>
      </c>
      <c r="B12" s="917">
        <v>22840457</v>
      </c>
      <c r="C12" s="917">
        <v>7501101</v>
      </c>
      <c r="D12" s="121">
        <f t="shared" si="0"/>
        <v>30341558</v>
      </c>
      <c r="E12" s="790"/>
      <c r="F12" s="77"/>
      <c r="G12" s="77"/>
      <c r="I12" s="77"/>
      <c r="J12" s="77"/>
    </row>
    <row r="13" spans="1:10" ht="25.15" customHeight="1">
      <c r="A13" s="746" t="s">
        <v>682</v>
      </c>
      <c r="B13" s="917">
        <v>56046560</v>
      </c>
      <c r="C13" s="917">
        <v>18496050</v>
      </c>
      <c r="D13" s="121">
        <f t="shared" si="0"/>
        <v>74542610</v>
      </c>
      <c r="E13" s="790"/>
      <c r="F13" s="77"/>
      <c r="G13" s="77"/>
      <c r="I13" s="77"/>
      <c r="J13" s="77"/>
    </row>
    <row r="14" spans="1:10" ht="25.15" customHeight="1">
      <c r="A14" s="746" t="s">
        <v>683</v>
      </c>
      <c r="B14" s="917">
        <v>5459766</v>
      </c>
      <c r="C14" s="917">
        <v>1588216</v>
      </c>
      <c r="D14" s="121">
        <f t="shared" si="0"/>
        <v>7047982</v>
      </c>
      <c r="E14" s="790"/>
      <c r="F14" s="77"/>
      <c r="G14" s="77"/>
      <c r="I14" s="77"/>
      <c r="J14" s="77"/>
    </row>
    <row r="15" spans="1:10" ht="25.15" customHeight="1">
      <c r="A15" s="746" t="s">
        <v>684</v>
      </c>
      <c r="B15" s="917">
        <v>16245980</v>
      </c>
      <c r="C15" s="917">
        <v>5181278</v>
      </c>
      <c r="D15" s="121">
        <f t="shared" si="0"/>
        <v>21427258</v>
      </c>
      <c r="E15" s="790"/>
      <c r="F15" s="77"/>
      <c r="G15" s="77"/>
      <c r="I15" s="77"/>
      <c r="J15" s="77"/>
    </row>
    <row r="16" spans="1:10" ht="25.15" customHeight="1">
      <c r="A16" s="746" t="s">
        <v>685</v>
      </c>
      <c r="B16" s="917">
        <v>49772854</v>
      </c>
      <c r="C16" s="917">
        <v>14025504</v>
      </c>
      <c r="D16" s="121">
        <f t="shared" si="0"/>
        <v>63798358</v>
      </c>
      <c r="E16" s="790"/>
      <c r="F16" s="77"/>
      <c r="G16" s="77"/>
      <c r="I16" s="77"/>
      <c r="J16" s="77"/>
    </row>
    <row r="17" spans="1:10" ht="25.15" customHeight="1">
      <c r="A17" s="746" t="s">
        <v>686</v>
      </c>
      <c r="B17" s="917">
        <v>36692282</v>
      </c>
      <c r="C17" s="917">
        <v>11401395</v>
      </c>
      <c r="D17" s="121">
        <f t="shared" si="0"/>
        <v>48093677</v>
      </c>
      <c r="E17" s="790"/>
      <c r="F17" s="77"/>
      <c r="G17" s="77"/>
      <c r="I17" s="77"/>
      <c r="J17" s="77"/>
    </row>
    <row r="18" spans="1:10" ht="25.15" customHeight="1">
      <c r="A18" s="746" t="s">
        <v>687</v>
      </c>
      <c r="B18" s="917">
        <v>9799281</v>
      </c>
      <c r="C18" s="917">
        <v>3225782</v>
      </c>
      <c r="D18" s="121">
        <f t="shared" si="0"/>
        <v>13025063</v>
      </c>
      <c r="E18" s="790"/>
      <c r="F18" s="77"/>
      <c r="G18" s="77"/>
      <c r="I18" s="77"/>
      <c r="J18" s="77"/>
    </row>
    <row r="19" spans="1:10" ht="25.15" customHeight="1">
      <c r="A19" s="746" t="s">
        <v>688</v>
      </c>
      <c r="B19" s="917">
        <v>10730454</v>
      </c>
      <c r="C19" s="917">
        <v>3212033</v>
      </c>
      <c r="D19" s="121">
        <f t="shared" si="0"/>
        <v>13942487</v>
      </c>
      <c r="E19" s="790"/>
      <c r="F19" s="77"/>
      <c r="G19" s="77"/>
      <c r="I19" s="77"/>
      <c r="J19" s="77"/>
    </row>
    <row r="20" spans="1:10" ht="25.15" customHeight="1">
      <c r="A20" s="746" t="s">
        <v>689</v>
      </c>
      <c r="B20" s="917">
        <v>18362516</v>
      </c>
      <c r="C20" s="917">
        <v>5489440</v>
      </c>
      <c r="D20" s="121">
        <f t="shared" si="0"/>
        <v>23851956</v>
      </c>
      <c r="E20" s="790"/>
      <c r="F20" s="77"/>
      <c r="G20" s="77"/>
      <c r="I20" s="77"/>
      <c r="J20" s="77"/>
    </row>
    <row r="21" spans="1:10" ht="25.15" customHeight="1">
      <c r="A21" s="746" t="s">
        <v>690</v>
      </c>
      <c r="B21" s="917">
        <v>127972871</v>
      </c>
      <c r="C21" s="917">
        <v>41778819</v>
      </c>
      <c r="D21" s="121">
        <f t="shared" si="0"/>
        <v>169751690</v>
      </c>
      <c r="E21" s="790"/>
      <c r="F21" s="77"/>
      <c r="G21" s="77"/>
      <c r="I21" s="77"/>
      <c r="J21" s="77"/>
    </row>
    <row r="22" spans="1:10" ht="25.15" customHeight="1">
      <c r="A22" s="746" t="s">
        <v>691</v>
      </c>
      <c r="B22" s="917">
        <v>5726831</v>
      </c>
      <c r="C22" s="917">
        <v>1757976</v>
      </c>
      <c r="D22" s="121">
        <f t="shared" si="0"/>
        <v>7484807</v>
      </c>
      <c r="E22" s="790"/>
      <c r="F22" s="77"/>
      <c r="G22" s="77"/>
      <c r="I22" s="77"/>
      <c r="J22" s="77"/>
    </row>
    <row r="23" spans="1:10" ht="25.15" customHeight="1">
      <c r="A23" s="746" t="s">
        <v>692</v>
      </c>
      <c r="B23" s="917">
        <v>13975274</v>
      </c>
      <c r="C23" s="917">
        <v>4597532</v>
      </c>
      <c r="D23" s="121">
        <f t="shared" si="0"/>
        <v>18572806</v>
      </c>
      <c r="E23" s="790"/>
      <c r="F23" s="77"/>
      <c r="G23" s="77"/>
      <c r="I23" s="77"/>
      <c r="J23" s="77"/>
    </row>
    <row r="24" spans="1:10" ht="25.15" customHeight="1">
      <c r="A24" s="746" t="s">
        <v>693</v>
      </c>
      <c r="B24" s="917">
        <v>44673856</v>
      </c>
      <c r="C24" s="917">
        <v>13659363</v>
      </c>
      <c r="D24" s="121">
        <f t="shared" si="0"/>
        <v>58333219</v>
      </c>
      <c r="E24" s="790"/>
      <c r="F24" s="77"/>
      <c r="G24" s="77"/>
      <c r="I24" s="77"/>
      <c r="J24" s="77"/>
    </row>
    <row r="25" spans="1:10" ht="25.15" customHeight="1">
      <c r="A25" s="746" t="s">
        <v>694</v>
      </c>
      <c r="B25" s="917">
        <v>23347161</v>
      </c>
      <c r="C25" s="917">
        <v>6658823</v>
      </c>
      <c r="D25" s="121">
        <f t="shared" si="0"/>
        <v>30005984</v>
      </c>
      <c r="E25" s="790"/>
      <c r="F25" s="77"/>
      <c r="G25" s="77"/>
      <c r="I25" s="77"/>
      <c r="J25" s="77"/>
    </row>
    <row r="26" spans="1:10" ht="25.15" customHeight="1">
      <c r="A26" s="746" t="s">
        <v>695</v>
      </c>
      <c r="B26" s="917">
        <v>26398672</v>
      </c>
      <c r="C26" s="917">
        <v>8356700</v>
      </c>
      <c r="D26" s="121">
        <f t="shared" si="0"/>
        <v>34755372</v>
      </c>
      <c r="E26" s="790"/>
      <c r="F26" s="77"/>
      <c r="G26" s="77"/>
      <c r="I26" s="77"/>
      <c r="J26" s="77"/>
    </row>
    <row r="27" spans="1:10" ht="25.15" customHeight="1">
      <c r="A27" s="746" t="s">
        <v>696</v>
      </c>
      <c r="B27" s="917">
        <v>22768757</v>
      </c>
      <c r="C27" s="917">
        <v>6575505</v>
      </c>
      <c r="D27" s="121">
        <f t="shared" si="0"/>
        <v>29344262</v>
      </c>
      <c r="E27" s="790"/>
      <c r="F27" s="77"/>
      <c r="G27" s="77"/>
      <c r="I27" s="77"/>
      <c r="J27" s="77"/>
    </row>
    <row r="28" spans="1:10" ht="25.15" customHeight="1">
      <c r="A28" s="746" t="s">
        <v>697</v>
      </c>
      <c r="B28" s="917">
        <v>17467946</v>
      </c>
      <c r="C28" s="917">
        <v>4316680</v>
      </c>
      <c r="D28" s="121">
        <f t="shared" si="0"/>
        <v>21784626</v>
      </c>
      <c r="E28" s="790"/>
      <c r="F28" s="77"/>
      <c r="G28" s="77"/>
      <c r="I28" s="77"/>
      <c r="J28" s="77"/>
    </row>
    <row r="29" spans="1:10" ht="25.15" customHeight="1">
      <c r="A29" s="746" t="s">
        <v>698</v>
      </c>
      <c r="B29" s="917">
        <v>51475042</v>
      </c>
      <c r="C29" s="917">
        <v>16598793</v>
      </c>
      <c r="D29" s="121">
        <f t="shared" si="0"/>
        <v>68073835</v>
      </c>
      <c r="E29" s="790"/>
      <c r="F29" s="77"/>
      <c r="G29" s="77"/>
      <c r="I29" s="77"/>
      <c r="J29" s="77"/>
    </row>
    <row r="30" spans="1:10" ht="25.15" customHeight="1">
      <c r="A30" s="746" t="s">
        <v>699</v>
      </c>
      <c r="B30" s="917">
        <v>32866930</v>
      </c>
      <c r="C30" s="917">
        <v>8809774</v>
      </c>
      <c r="D30" s="121">
        <f t="shared" si="0"/>
        <v>41676704</v>
      </c>
      <c r="E30" s="790"/>
      <c r="F30" s="77"/>
      <c r="G30" s="77"/>
      <c r="I30" s="77"/>
      <c r="J30" s="77"/>
    </row>
    <row r="31" spans="1:10" ht="25.15" customHeight="1">
      <c r="A31" s="746" t="s">
        <v>700</v>
      </c>
      <c r="B31" s="917">
        <v>33220322</v>
      </c>
      <c r="C31" s="917">
        <v>9341161</v>
      </c>
      <c r="D31" s="121">
        <f t="shared" si="0"/>
        <v>42561483</v>
      </c>
      <c r="E31" s="790"/>
      <c r="F31" s="77"/>
      <c r="G31" s="77"/>
      <c r="I31" s="77"/>
      <c r="J31" s="77"/>
    </row>
    <row r="32" spans="1:10" ht="25.15" customHeight="1">
      <c r="A32" s="746" t="s">
        <v>701</v>
      </c>
      <c r="B32" s="917">
        <v>12162902</v>
      </c>
      <c r="C32" s="917">
        <v>3803945</v>
      </c>
      <c r="D32" s="121">
        <f t="shared" si="0"/>
        <v>15966847</v>
      </c>
      <c r="E32" s="790"/>
      <c r="F32" s="77"/>
      <c r="G32" s="77"/>
      <c r="I32" s="77" t="s">
        <v>626</v>
      </c>
      <c r="J32" s="77"/>
    </row>
    <row r="33" spans="1:21" ht="25.15" customHeight="1">
      <c r="A33" s="746" t="s">
        <v>702</v>
      </c>
      <c r="B33" s="917">
        <v>23569582</v>
      </c>
      <c r="C33" s="917">
        <v>7596608</v>
      </c>
      <c r="D33" s="121">
        <f t="shared" si="0"/>
        <v>31166190</v>
      </c>
      <c r="E33" s="790"/>
      <c r="F33" s="77"/>
      <c r="G33" s="77"/>
      <c r="I33" s="790"/>
      <c r="J33" s="77"/>
      <c r="K33" s="790"/>
    </row>
    <row r="34" spans="1:21" ht="25.15" customHeight="1" thickBot="1">
      <c r="A34" s="747" t="s">
        <v>703</v>
      </c>
      <c r="B34" s="917">
        <v>63600264</v>
      </c>
      <c r="C34" s="917">
        <v>16553415</v>
      </c>
      <c r="D34" s="122">
        <f t="shared" si="0"/>
        <v>80153679</v>
      </c>
      <c r="E34" s="790"/>
      <c r="F34" s="77"/>
      <c r="G34" s="77"/>
      <c r="I34" s="790"/>
      <c r="J34" s="77"/>
      <c r="K34" s="790"/>
    </row>
    <row r="35" spans="1:21" ht="25.15" customHeight="1" thickBot="1">
      <c r="A35" s="748" t="s">
        <v>2</v>
      </c>
      <c r="B35" s="815">
        <f>SUM(B7:B34)</f>
        <v>884832666</v>
      </c>
      <c r="C35" s="816">
        <f>SUM(C7:C34)</f>
        <v>272175155</v>
      </c>
      <c r="D35" s="776">
        <f>SUM(D7:D34)</f>
        <v>1157007821</v>
      </c>
      <c r="E35" s="817"/>
      <c r="F35" s="78"/>
      <c r="G35" s="77"/>
      <c r="H35" s="77"/>
      <c r="I35" s="790"/>
      <c r="J35" s="77"/>
      <c r="K35" s="790"/>
      <c r="L35" s="791"/>
    </row>
    <row r="36" spans="1:21" ht="19.149999999999999" customHeight="1">
      <c r="A36" s="1255" t="s">
        <v>767</v>
      </c>
      <c r="B36" s="1255"/>
      <c r="C36" s="1255"/>
      <c r="D36" s="1255"/>
      <c r="E36" s="937"/>
      <c r="F36" s="33"/>
      <c r="K36" s="790"/>
    </row>
    <row r="37" spans="1:21" ht="44.45" customHeight="1">
      <c r="A37" s="1254" t="s">
        <v>766</v>
      </c>
      <c r="B37" s="1254"/>
      <c r="C37" s="1254"/>
      <c r="D37" s="1254"/>
      <c r="E37" s="936"/>
      <c r="F37" s="33"/>
      <c r="K37" s="790"/>
    </row>
    <row r="38" spans="1:21" ht="26.45" customHeight="1">
      <c r="A38" s="933"/>
      <c r="B38" s="933"/>
      <c r="C38" s="933"/>
      <c r="D38" s="933"/>
      <c r="E38" s="936"/>
      <c r="F38" s="33"/>
      <c r="K38" s="790"/>
    </row>
    <row r="39" spans="1:21" ht="36.6" customHeight="1" thickBot="1">
      <c r="A39" s="913" t="s">
        <v>752</v>
      </c>
      <c r="B39" s="914"/>
      <c r="C39" s="914"/>
      <c r="D39" s="37"/>
      <c r="E39" s="28"/>
      <c r="F39" s="28"/>
      <c r="G39" s="33"/>
      <c r="H39" s="33"/>
      <c r="I39" s="33"/>
      <c r="J39" s="33"/>
      <c r="K39" s="301"/>
      <c r="L39" s="33"/>
      <c r="M39" s="33"/>
      <c r="N39" s="33"/>
      <c r="O39" s="33"/>
      <c r="P39" s="33"/>
      <c r="Q39" s="33"/>
      <c r="R39" s="33"/>
      <c r="S39" s="33"/>
      <c r="T39" s="33"/>
      <c r="U39" s="33"/>
    </row>
    <row r="40" spans="1:21" ht="24" customHeight="1" thickBot="1">
      <c r="A40" s="34" t="s">
        <v>743</v>
      </c>
      <c r="B40" s="1241" t="str">
        <f>B3</f>
        <v>Date Updated:   04.13.18;    BY:  SWG</v>
      </c>
      <c r="C40" s="1242"/>
      <c r="D40" s="1242"/>
      <c r="E40" s="1243"/>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9" t="s">
        <v>222</v>
      </c>
      <c r="G42" s="35"/>
    </row>
    <row r="43" spans="1:21" ht="42">
      <c r="A43" s="921" t="str">
        <f>A10</f>
        <v>Chipola College</v>
      </c>
      <c r="B43" s="922" t="s">
        <v>707</v>
      </c>
      <c r="C43" s="923">
        <v>200000</v>
      </c>
      <c r="D43" s="923"/>
      <c r="E43" s="750">
        <f t="shared" ref="E43:E56" si="1">C43+D43</f>
        <v>200000</v>
      </c>
    </row>
    <row r="44" spans="1:21" ht="42">
      <c r="A44" s="924" t="str">
        <f>A11</f>
        <v>Daytona State College</v>
      </c>
      <c r="B44" s="925" t="s">
        <v>713</v>
      </c>
      <c r="C44" s="923">
        <v>500000</v>
      </c>
      <c r="D44" s="923"/>
      <c r="E44" s="750">
        <f t="shared" si="1"/>
        <v>500000</v>
      </c>
      <c r="H44" s="33"/>
    </row>
    <row r="45" spans="1:21" ht="43.15" customHeight="1">
      <c r="A45" s="926" t="s">
        <v>681</v>
      </c>
      <c r="B45" s="925" t="s">
        <v>758</v>
      </c>
      <c r="C45" s="923"/>
      <c r="D45" s="923">
        <v>1000000</v>
      </c>
      <c r="E45" s="750">
        <f t="shared" si="1"/>
        <v>1000000</v>
      </c>
      <c r="H45" s="33"/>
    </row>
    <row r="46" spans="1:21" ht="44.45" customHeight="1">
      <c r="A46" s="926" t="s">
        <v>681</v>
      </c>
      <c r="B46" s="925" t="s">
        <v>759</v>
      </c>
      <c r="C46" s="923"/>
      <c r="D46" s="923">
        <v>350000</v>
      </c>
      <c r="E46" s="750">
        <f t="shared" si="1"/>
        <v>350000</v>
      </c>
      <c r="H46" s="33"/>
    </row>
    <row r="47" spans="1:21" ht="45.6" customHeight="1">
      <c r="A47" s="926" t="s">
        <v>683</v>
      </c>
      <c r="B47" s="925" t="s">
        <v>760</v>
      </c>
      <c r="C47" s="923"/>
      <c r="D47" s="923">
        <v>250000</v>
      </c>
      <c r="E47" s="750">
        <f t="shared" ref="E47" si="2">C47+D47</f>
        <v>250000</v>
      </c>
      <c r="H47" s="33"/>
    </row>
    <row r="48" spans="1:21" ht="62.45" customHeight="1">
      <c r="A48" s="926" t="s">
        <v>685</v>
      </c>
      <c r="B48" s="925" t="s">
        <v>708</v>
      </c>
      <c r="C48" s="923">
        <v>2500000</v>
      </c>
      <c r="D48" s="923"/>
      <c r="E48" s="750">
        <f t="shared" si="1"/>
        <v>2500000</v>
      </c>
      <c r="H48" s="33"/>
    </row>
    <row r="49" spans="1:8" ht="62.45" customHeight="1">
      <c r="A49" s="926" t="s">
        <v>761</v>
      </c>
      <c r="B49" s="925" t="s">
        <v>762</v>
      </c>
      <c r="C49" s="923"/>
      <c r="D49" s="923">
        <v>250000</v>
      </c>
      <c r="E49" s="750">
        <f t="shared" si="1"/>
        <v>250000</v>
      </c>
      <c r="H49" s="33"/>
    </row>
    <row r="50" spans="1:8" ht="43.15" customHeight="1">
      <c r="A50" s="926" t="s">
        <v>690</v>
      </c>
      <c r="B50" s="925" t="s">
        <v>763</v>
      </c>
      <c r="C50" s="923"/>
      <c r="D50" s="923">
        <v>700000</v>
      </c>
      <c r="E50" s="750">
        <f t="shared" si="1"/>
        <v>700000</v>
      </c>
      <c r="H50" s="33"/>
    </row>
    <row r="51" spans="1:8">
      <c r="A51" s="926" t="str">
        <f>A25</f>
        <v>Pasco-Hernando State College</v>
      </c>
      <c r="B51" s="925" t="s">
        <v>709</v>
      </c>
      <c r="C51" s="923">
        <v>2306271</v>
      </c>
      <c r="D51" s="923"/>
      <c r="E51" s="750">
        <f t="shared" si="1"/>
        <v>2306271</v>
      </c>
      <c r="H51" s="33"/>
    </row>
    <row r="52" spans="1:8" ht="63">
      <c r="A52" s="927" t="s">
        <v>696</v>
      </c>
      <c r="B52" s="928" t="s">
        <v>765</v>
      </c>
      <c r="C52" s="929">
        <v>2540288</v>
      </c>
      <c r="D52" s="929"/>
      <c r="E52" s="750">
        <f t="shared" si="1"/>
        <v>2540288</v>
      </c>
      <c r="H52" s="33"/>
    </row>
    <row r="53" spans="1:8">
      <c r="A53" s="927" t="str">
        <f>A29</f>
        <v>St. Petersburg College</v>
      </c>
      <c r="B53" s="928" t="s">
        <v>710</v>
      </c>
      <c r="C53" s="929">
        <v>650000</v>
      </c>
      <c r="D53" s="929"/>
      <c r="E53" s="789">
        <f t="shared" si="1"/>
        <v>650000</v>
      </c>
      <c r="H53" s="33"/>
    </row>
    <row r="54" spans="1:8" ht="42">
      <c r="A54" s="930" t="str">
        <f>A53</f>
        <v>St. Petersburg College</v>
      </c>
      <c r="B54" s="925" t="s">
        <v>711</v>
      </c>
      <c r="C54" s="923">
        <v>615000</v>
      </c>
      <c r="D54" s="923"/>
      <c r="E54" s="750">
        <f t="shared" si="1"/>
        <v>615000</v>
      </c>
      <c r="H54" s="33"/>
    </row>
    <row r="55" spans="1:8" ht="62.45" customHeight="1">
      <c r="A55" s="930" t="str">
        <f>A32</f>
        <v>South Florida State College</v>
      </c>
      <c r="B55" s="925" t="s">
        <v>714</v>
      </c>
      <c r="C55" s="923">
        <v>126525</v>
      </c>
      <c r="D55" s="923"/>
      <c r="E55" s="750">
        <f t="shared" si="1"/>
        <v>126525</v>
      </c>
      <c r="H55" s="33"/>
    </row>
    <row r="56" spans="1:8" ht="25.9" customHeight="1" thickBot="1">
      <c r="A56" s="930" t="s">
        <v>701</v>
      </c>
      <c r="B56" s="934" t="s">
        <v>764</v>
      </c>
      <c r="C56" s="935"/>
      <c r="D56" s="935">
        <v>500000</v>
      </c>
      <c r="E56" s="750">
        <f t="shared" si="1"/>
        <v>500000</v>
      </c>
      <c r="H56" s="33"/>
    </row>
    <row r="57" spans="1:8" ht="24.6" customHeight="1" thickBot="1">
      <c r="A57" s="112" t="s">
        <v>222</v>
      </c>
      <c r="B57" s="745"/>
      <c r="C57" s="813">
        <f>SUM(C43:C56)</f>
        <v>9438084</v>
      </c>
      <c r="D57" s="813">
        <f>SUM(D43:D56)</f>
        <v>3050000</v>
      </c>
      <c r="E57" s="814">
        <f>SUM(E43:E56)</f>
        <v>12488084</v>
      </c>
      <c r="H57" s="33"/>
    </row>
    <row r="58" spans="1:8" ht="25.15" customHeight="1">
      <c r="A58" s="29" t="s">
        <v>705</v>
      </c>
      <c r="H58" s="33"/>
    </row>
    <row r="59" spans="1:8" ht="25.15" customHeight="1">
      <c r="D59" s="77"/>
      <c r="H59" s="33"/>
    </row>
    <row r="60" spans="1:8" ht="30.6" customHeight="1" thickBot="1">
      <c r="A60" s="913" t="s">
        <v>752</v>
      </c>
      <c r="B60" s="914"/>
      <c r="C60" s="914"/>
      <c r="D60" s="37"/>
      <c r="E60" s="28"/>
      <c r="H60" s="33"/>
    </row>
    <row r="61" spans="1:8" ht="40.9" customHeight="1" thickBot="1">
      <c r="A61" s="74" t="s">
        <v>731</v>
      </c>
      <c r="B61" s="751" t="str">
        <f>B3</f>
        <v>Date Updated:   04.13.18;    BY:  SWG</v>
      </c>
      <c r="C61" s="71"/>
      <c r="D61" s="71"/>
      <c r="F61" s="33"/>
      <c r="G61" s="33"/>
      <c r="H61" s="33"/>
    </row>
    <row r="62" spans="1:8" ht="45" customHeight="1" thickBot="1">
      <c r="A62" s="1246" t="s">
        <v>624</v>
      </c>
      <c r="B62" s="1247"/>
      <c r="C62" s="752"/>
      <c r="H62" s="33"/>
    </row>
    <row r="63" spans="1:8" ht="37.15" customHeight="1" thickBot="1">
      <c r="A63" s="696" t="s">
        <v>602</v>
      </c>
      <c r="B63" s="876" t="s">
        <v>2</v>
      </c>
      <c r="C63" s="35"/>
      <c r="D63" s="38"/>
      <c r="H63" s="33"/>
    </row>
    <row r="64" spans="1:8" ht="25.15" customHeight="1">
      <c r="A64" s="784" t="str">
        <f>A11</f>
        <v>Daytona State College</v>
      </c>
      <c r="B64" s="918">
        <v>70000</v>
      </c>
      <c r="C64" s="753"/>
      <c r="H64" s="33"/>
    </row>
    <row r="65" spans="1:13" ht="25.15" customHeight="1" thickBot="1">
      <c r="A65" s="788" t="str">
        <f>A33</f>
        <v>Tallahassee Community College</v>
      </c>
      <c r="B65" s="919">
        <v>25000</v>
      </c>
      <c r="C65" s="753"/>
      <c r="H65" s="33"/>
    </row>
    <row r="66" spans="1:13" ht="25.15" customHeight="1" thickBot="1">
      <c r="A66" s="737" t="s">
        <v>2</v>
      </c>
      <c r="B66" s="920">
        <f>SUM(B64:B65)</f>
        <v>95000</v>
      </c>
      <c r="C66" s="754"/>
    </row>
    <row r="67" spans="1:13" ht="24.6" customHeight="1">
      <c r="A67" s="939"/>
      <c r="B67" s="938"/>
      <c r="C67" s="938"/>
      <c r="D67" s="33"/>
      <c r="E67" s="33"/>
      <c r="F67" s="33"/>
      <c r="G67" s="28"/>
      <c r="H67" s="33"/>
    </row>
    <row r="68" spans="1:13" ht="31.9" customHeight="1" thickBot="1">
      <c r="A68" s="913" t="s">
        <v>768</v>
      </c>
      <c r="B68" s="914"/>
      <c r="C68" s="914"/>
      <c r="D68" s="37"/>
      <c r="E68" s="28"/>
      <c r="F68" s="33"/>
      <c r="G68" s="28"/>
      <c r="H68" s="33"/>
    </row>
    <row r="69" spans="1:13" ht="44.45" customHeight="1" thickBot="1">
      <c r="A69" s="39" t="s">
        <v>744</v>
      </c>
      <c r="B69" s="1250" t="str">
        <f>B3</f>
        <v>Date Updated:   04.13.18;    BY:  SWG</v>
      </c>
      <c r="C69" s="1251"/>
      <c r="D69" s="1252"/>
      <c r="E69" s="1253"/>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2">
        <v>23638260.976129081</v>
      </c>
      <c r="C71" s="792">
        <f t="shared" ref="C71:C98" si="4">B71*0.05</f>
        <v>1181913.0488064541</v>
      </c>
      <c r="D71" s="793">
        <f t="shared" ref="D71:D98" si="5">IF(C71&gt;500000,0,1)</f>
        <v>0</v>
      </c>
      <c r="E71" s="793">
        <f t="shared" ref="E71:E98" si="6">IF(D71&lt;1,0,B71*0.02)</f>
        <v>0</v>
      </c>
      <c r="F71" s="792">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30" t="str">
        <f t="shared" si="3"/>
        <v>Chipola College</v>
      </c>
      <c r="B74" s="731">
        <v>2907528.7498592394</v>
      </c>
      <c r="C74" s="731">
        <f t="shared" si="4"/>
        <v>145376.43749296197</v>
      </c>
      <c r="D74" s="731">
        <f t="shared" si="5"/>
        <v>1</v>
      </c>
      <c r="E74" s="731">
        <f t="shared" si="6"/>
        <v>58150.574997184791</v>
      </c>
      <c r="F74" s="731">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30" t="str">
        <f t="shared" si="3"/>
        <v>Florida Keys Community College</v>
      </c>
      <c r="B78" s="731">
        <v>2200292.3947656481</v>
      </c>
      <c r="C78" s="731">
        <f t="shared" si="4"/>
        <v>110014.6197382824</v>
      </c>
      <c r="D78" s="731">
        <f t="shared" si="5"/>
        <v>1</v>
      </c>
      <c r="E78" s="731">
        <f t="shared" si="6"/>
        <v>44005.84789531296</v>
      </c>
      <c r="F78" s="731">
        <f t="shared" si="7"/>
        <v>154020.46763359537</v>
      </c>
    </row>
    <row r="79" spans="1:13" ht="25.15" customHeight="1">
      <c r="A79" s="730" t="str">
        <f t="shared" si="3"/>
        <v>Gulf Coast State College</v>
      </c>
      <c r="B79" s="731">
        <v>7753712.6232903171</v>
      </c>
      <c r="C79" s="731">
        <f t="shared" si="4"/>
        <v>387685.63116451586</v>
      </c>
      <c r="D79" s="731">
        <f t="shared" si="5"/>
        <v>1</v>
      </c>
      <c r="E79" s="731">
        <f t="shared" si="6"/>
        <v>155074.25246580635</v>
      </c>
      <c r="F79" s="731">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30" t="str">
        <f t="shared" si="3"/>
        <v>Florida Gateway College</v>
      </c>
      <c r="B82" s="731">
        <v>4308620.7705288203</v>
      </c>
      <c r="C82" s="731">
        <f t="shared" si="4"/>
        <v>215431.03852644103</v>
      </c>
      <c r="D82" s="731">
        <f t="shared" si="5"/>
        <v>1</v>
      </c>
      <c r="E82" s="731">
        <f t="shared" si="6"/>
        <v>86172.415410576403</v>
      </c>
      <c r="F82" s="731">
        <f t="shared" si="7"/>
        <v>301603.45393701742</v>
      </c>
    </row>
    <row r="83" spans="1:6" ht="25.15" customHeight="1">
      <c r="A83" s="730" t="str">
        <f t="shared" si="3"/>
        <v>Lake-Sumter State College</v>
      </c>
      <c r="B83" s="731">
        <v>6656098.6657396099</v>
      </c>
      <c r="C83" s="731">
        <f t="shared" si="4"/>
        <v>332804.93328698049</v>
      </c>
      <c r="D83" s="731">
        <f t="shared" si="5"/>
        <v>1</v>
      </c>
      <c r="E83" s="731">
        <f t="shared" si="6"/>
        <v>133121.97331479221</v>
      </c>
      <c r="F83" s="731">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30" t="str">
        <f t="shared" si="3"/>
        <v>North Florida Community College</v>
      </c>
      <c r="B86" s="731">
        <v>1638480.3632627467</v>
      </c>
      <c r="C86" s="731">
        <f t="shared" si="4"/>
        <v>81924.018163137342</v>
      </c>
      <c r="D86" s="731">
        <f t="shared" si="5"/>
        <v>1</v>
      </c>
      <c r="E86" s="731">
        <f t="shared" si="6"/>
        <v>32769.607265254934</v>
      </c>
      <c r="F86" s="731">
        <f t="shared" si="7"/>
        <v>114693.62542839228</v>
      </c>
    </row>
    <row r="87" spans="1:6" ht="25.15" customHeight="1">
      <c r="A87" s="730" t="str">
        <f t="shared" si="3"/>
        <v>Northwest Florida State College</v>
      </c>
      <c r="B87" s="731">
        <v>8745480.662638206</v>
      </c>
      <c r="C87" s="731">
        <f t="shared" si="4"/>
        <v>437274.03313191031</v>
      </c>
      <c r="D87" s="731">
        <f t="shared" si="5"/>
        <v>1</v>
      </c>
      <c r="E87" s="731">
        <f t="shared" si="6"/>
        <v>174909.61325276413</v>
      </c>
      <c r="F87" s="731">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30" t="str">
        <f t="shared" si="3"/>
        <v>St. Johns River State College</v>
      </c>
      <c r="B92" s="731">
        <v>9191984.2305891309</v>
      </c>
      <c r="C92" s="731">
        <f t="shared" si="4"/>
        <v>459599.21152945654</v>
      </c>
      <c r="D92" s="731">
        <f t="shared" si="5"/>
        <v>1</v>
      </c>
      <c r="E92" s="731">
        <f t="shared" si="6"/>
        <v>183839.68461178264</v>
      </c>
      <c r="F92" s="731">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30" t="str">
        <f t="shared" si="3"/>
        <v>South Florida State College</v>
      </c>
      <c r="B96" s="731">
        <v>4051007.0213258136</v>
      </c>
      <c r="C96" s="731">
        <f t="shared" si="4"/>
        <v>202550.35106629069</v>
      </c>
      <c r="D96" s="731">
        <f t="shared" si="5"/>
        <v>1</v>
      </c>
      <c r="E96" s="731">
        <f t="shared" si="6"/>
        <v>81020.140426516271</v>
      </c>
      <c r="F96" s="731">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0">
        <v>88982172.505583376</v>
      </c>
      <c r="C98" s="47">
        <f t="shared" si="4"/>
        <v>4449108.6252791686</v>
      </c>
      <c r="D98" s="47">
        <f t="shared" si="5"/>
        <v>0</v>
      </c>
      <c r="E98" s="47">
        <f t="shared" si="6"/>
        <v>0</v>
      </c>
      <c r="F98" s="47">
        <f t="shared" si="7"/>
        <v>4449108.6252791686</v>
      </c>
    </row>
    <row r="99" spans="1:54" ht="25.15" customHeight="1" thickBot="1">
      <c r="A99" s="112" t="s">
        <v>2</v>
      </c>
      <c r="B99" s="794">
        <f>SUM(B71:B98)</f>
        <v>792027437.28947937</v>
      </c>
      <c r="C99" s="794">
        <f>SUM(C71:C98)</f>
        <v>39601371.864473961</v>
      </c>
      <c r="D99" s="113">
        <f>SUM(D71:D98)</f>
        <v>9</v>
      </c>
      <c r="E99" s="794">
        <f>SUM(E71:E98)</f>
        <v>949064.10963999073</v>
      </c>
      <c r="F99" s="795">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64" t="s">
        <v>780</v>
      </c>
      <c r="B102" s="1264"/>
      <c r="C102" s="1264"/>
      <c r="D102" s="1264"/>
      <c r="E102" s="1264"/>
      <c r="F102" s="1264"/>
      <c r="G102" s="1264"/>
      <c r="H102" s="1264"/>
      <c r="I102" s="1264"/>
      <c r="J102" s="1264"/>
      <c r="K102" s="1264"/>
      <c r="L102" s="1264"/>
      <c r="M102" s="1264"/>
      <c r="N102" s="1264"/>
      <c r="O102" s="1264"/>
      <c r="P102" s="1264"/>
      <c r="Q102" s="1264"/>
      <c r="R102" s="1264"/>
    </row>
    <row r="103" spans="1:54" ht="19.899999999999999" customHeight="1">
      <c r="A103" s="1262" t="s">
        <v>757</v>
      </c>
      <c r="B103" s="1262"/>
      <c r="C103" s="1262"/>
      <c r="D103" s="1262"/>
      <c r="E103" s="1262"/>
      <c r="F103" s="1262"/>
      <c r="G103" s="1262"/>
      <c r="H103" s="1262"/>
      <c r="I103" s="1262"/>
      <c r="J103" s="1262"/>
      <c r="K103" s="1262"/>
      <c r="L103" s="1262"/>
      <c r="M103" s="1262"/>
      <c r="N103" s="1262"/>
      <c r="O103" s="1262"/>
      <c r="P103" s="1262"/>
      <c r="Q103" s="1262"/>
      <c r="R103" s="1262"/>
      <c r="S103" s="932"/>
    </row>
    <row r="104" spans="1:54" ht="19.899999999999999" customHeight="1">
      <c r="A104" s="878" t="s">
        <v>781</v>
      </c>
      <c r="B104" s="878"/>
      <c r="C104" s="878"/>
      <c r="D104" s="878"/>
      <c r="E104" s="878"/>
      <c r="F104" s="878"/>
      <c r="G104" s="878"/>
      <c r="H104" s="878"/>
      <c r="I104" s="878"/>
      <c r="J104" s="878"/>
      <c r="K104" s="878"/>
      <c r="L104" s="878"/>
      <c r="M104" s="878"/>
      <c r="N104" s="878"/>
      <c r="O104" s="878"/>
      <c r="P104" s="878"/>
      <c r="Q104" s="878"/>
      <c r="R104" s="878"/>
    </row>
    <row r="105" spans="1:54" ht="19.899999999999999" customHeight="1">
      <c r="A105" s="1262" t="s">
        <v>611</v>
      </c>
      <c r="B105" s="1262"/>
      <c r="C105" s="1262"/>
      <c r="D105" s="1262"/>
      <c r="E105" s="1262"/>
      <c r="F105" s="1262"/>
      <c r="G105" s="1262"/>
      <c r="H105" s="1262"/>
      <c r="I105" s="1262"/>
      <c r="J105" s="1262"/>
      <c r="K105" s="1262"/>
      <c r="L105" s="1262"/>
      <c r="M105" s="1262"/>
      <c r="N105" s="1262"/>
      <c r="O105" s="1262"/>
      <c r="P105" s="1262"/>
      <c r="Q105" s="1262"/>
      <c r="R105" s="1262"/>
    </row>
    <row r="106" spans="1:54" ht="19.899999999999999" customHeight="1">
      <c r="A106" s="1262"/>
      <c r="B106" s="1262"/>
      <c r="C106" s="1262"/>
      <c r="D106" s="1262"/>
      <c r="E106" s="1262"/>
      <c r="F106" s="1262"/>
      <c r="G106" s="1262"/>
    </row>
    <row r="107" spans="1:54" ht="32.450000000000003" customHeight="1" thickBot="1">
      <c r="E107" s="912"/>
      <c r="F107" s="912"/>
      <c r="G107" s="912"/>
      <c r="H107" s="37"/>
      <c r="I107" s="37"/>
      <c r="J107" s="37"/>
      <c r="K107" s="37"/>
    </row>
    <row r="108" spans="1:54" ht="43.15" customHeight="1" thickBot="1">
      <c r="A108" s="76" t="s">
        <v>782</v>
      </c>
      <c r="B108" s="1257" t="s">
        <v>778</v>
      </c>
      <c r="C108" s="1258"/>
      <c r="D108" s="1259"/>
      <c r="E108" s="1260" t="s">
        <v>266</v>
      </c>
      <c r="F108" s="1260"/>
      <c r="G108" s="1260"/>
      <c r="H108" s="1260"/>
      <c r="I108" s="1260"/>
      <c r="J108" s="1260"/>
      <c r="K108" s="1260"/>
      <c r="L108" s="1260"/>
      <c r="M108" s="1260"/>
      <c r="N108" s="1260"/>
      <c r="O108" s="1260"/>
      <c r="P108" s="1260"/>
      <c r="Q108" s="1260"/>
      <c r="R108" s="1260"/>
      <c r="S108" s="1261"/>
      <c r="T108" s="51"/>
      <c r="U108" s="51"/>
      <c r="AC108" s="31"/>
      <c r="AD108" s="50"/>
      <c r="AK108" s="742"/>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44" t="s">
        <v>528</v>
      </c>
      <c r="U109" s="52"/>
      <c r="V109" s="73">
        <v>20</v>
      </c>
      <c r="W109" s="126">
        <v>21</v>
      </c>
      <c r="X109" s="126">
        <v>22</v>
      </c>
      <c r="Y109" s="105"/>
      <c r="Z109" s="126">
        <v>23</v>
      </c>
      <c r="AA109" s="126">
        <v>24</v>
      </c>
      <c r="AB109" s="127">
        <v>25</v>
      </c>
      <c r="AC109" s="54"/>
      <c r="AD109" s="50"/>
    </row>
    <row r="110" spans="1:54" ht="29.45" customHeight="1" thickBot="1">
      <c r="A110" s="90" t="s">
        <v>574</v>
      </c>
      <c r="B110" s="1212" t="s">
        <v>261</v>
      </c>
      <c r="C110" s="1213"/>
      <c r="D110" s="1214"/>
      <c r="E110" s="53"/>
      <c r="F110" s="1216" t="s">
        <v>257</v>
      </c>
      <c r="G110" s="1216"/>
      <c r="H110" s="1216"/>
      <c r="I110" s="1216"/>
      <c r="J110" s="1216"/>
      <c r="K110" s="1216"/>
      <c r="L110" s="1216"/>
      <c r="M110" s="1216"/>
      <c r="N110" s="1216"/>
      <c r="O110" s="1216"/>
      <c r="P110" s="1216"/>
      <c r="Q110" s="1217" t="s">
        <v>258</v>
      </c>
      <c r="R110" s="1218"/>
      <c r="S110" s="1219"/>
      <c r="T110" s="1245"/>
      <c r="U110" s="55"/>
      <c r="V110" s="56"/>
      <c r="W110" s="57"/>
      <c r="X110" s="58"/>
      <c r="Y110" s="106"/>
      <c r="Z110" s="1222"/>
      <c r="AA110" s="1223"/>
      <c r="AB110" s="1224"/>
      <c r="AC110" s="31"/>
      <c r="AD110" s="131" t="s">
        <v>769</v>
      </c>
      <c r="AF110" s="49"/>
      <c r="AG110" s="50"/>
    </row>
    <row r="111" spans="1:54" ht="66" customHeight="1" thickBot="1">
      <c r="A111" s="59"/>
      <c r="B111" s="1225" t="s">
        <v>617</v>
      </c>
      <c r="C111" s="1226"/>
      <c r="D111" s="1227"/>
      <c r="E111" s="1225" t="s">
        <v>216</v>
      </c>
      <c r="F111" s="1226"/>
      <c r="G111" s="1227"/>
      <c r="H111" s="1225" t="s">
        <v>253</v>
      </c>
      <c r="I111" s="1226"/>
      <c r="J111" s="1227"/>
      <c r="K111" s="1236" t="s">
        <v>629</v>
      </c>
      <c r="L111" s="1236"/>
      <c r="M111" s="1236"/>
      <c r="N111" s="1237" t="s">
        <v>249</v>
      </c>
      <c r="O111" s="1238"/>
      <c r="P111" s="1239"/>
      <c r="Q111" s="1237" t="s">
        <v>527</v>
      </c>
      <c r="R111" s="1238"/>
      <c r="S111" s="1239"/>
      <c r="T111" s="1220" t="s">
        <v>618</v>
      </c>
      <c r="U111" s="36"/>
      <c r="V111" s="1233" t="s">
        <v>254</v>
      </c>
      <c r="W111" s="1234"/>
      <c r="X111" s="1240"/>
      <c r="Y111" s="99"/>
      <c r="Z111" s="1233" t="s">
        <v>463</v>
      </c>
      <c r="AA111" s="1234"/>
      <c r="AB111" s="1235"/>
      <c r="AC111" s="37"/>
      <c r="AD111" s="72" t="s">
        <v>219</v>
      </c>
      <c r="AF111" s="31"/>
      <c r="AG111" s="33"/>
      <c r="AI111" s="1228" t="s">
        <v>773</v>
      </c>
      <c r="AJ111" s="1228"/>
      <c r="AK111" s="1228"/>
      <c r="AL111" s="1228"/>
      <c r="AM111" s="1228"/>
      <c r="AN111" s="1228"/>
      <c r="AO111" s="1228"/>
      <c r="AP111" s="37"/>
      <c r="AS111" s="37"/>
      <c r="AT111" s="37"/>
    </row>
    <row r="112" spans="1:54" ht="87" customHeight="1" thickBot="1">
      <c r="A112" s="65" t="s">
        <v>602</v>
      </c>
      <c r="B112" s="98" t="s">
        <v>252</v>
      </c>
      <c r="C112" s="740"/>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21"/>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3" t="str">
        <f t="shared" ref="A113:A140" si="8">A7</f>
        <v>Eastern Florida State College</v>
      </c>
      <c r="B113" s="879">
        <v>777</v>
      </c>
      <c r="C113" s="104"/>
      <c r="D113" s="755">
        <f t="shared" ref="D113:D140" si="9">B113+C113</f>
        <v>777</v>
      </c>
      <c r="E113" s="879">
        <v>5491.1391692867774</v>
      </c>
      <c r="F113" s="882">
        <v>193.99143637266255</v>
      </c>
      <c r="G113" s="755">
        <f t="shared" ref="G113:G140" si="10">E113+F113</f>
        <v>5685.1306056594403</v>
      </c>
      <c r="H113" s="885">
        <v>1757.9638639250929</v>
      </c>
      <c r="I113" s="886">
        <v>42.579118242130527</v>
      </c>
      <c r="J113" s="755">
        <f>H113+I113</f>
        <v>1800.5429821672235</v>
      </c>
      <c r="K113" s="891">
        <v>280.80722891566268</v>
      </c>
      <c r="L113" s="892">
        <v>25.192771084337348</v>
      </c>
      <c r="M113" s="84">
        <f t="shared" ref="M113:M140" si="11">K113+L113</f>
        <v>306</v>
      </c>
      <c r="N113" s="891">
        <v>0</v>
      </c>
      <c r="O113" s="892">
        <v>0</v>
      </c>
      <c r="P113" s="84">
        <f t="shared" ref="P113:P140" si="12">N113+O113</f>
        <v>0</v>
      </c>
      <c r="Q113" s="891">
        <v>367.66523091648719</v>
      </c>
      <c r="R113" s="897">
        <v>13.33500837520938</v>
      </c>
      <c r="S113" s="755">
        <f t="shared" ref="S113:S140" si="13">Q113+R113</f>
        <v>381.00023929169657</v>
      </c>
      <c r="T113" s="84">
        <f t="shared" ref="T113:T140" si="14">D113+G113+J113+M113+P113+S113</f>
        <v>8949.6738271183604</v>
      </c>
      <c r="V113" s="764">
        <f>X113-W113</f>
        <v>0</v>
      </c>
      <c r="W113" s="900">
        <v>0</v>
      </c>
      <c r="X113" s="901">
        <v>0</v>
      </c>
      <c r="Y113" s="130"/>
      <c r="Z113" s="768">
        <f>AB113-AA113</f>
        <v>0</v>
      </c>
      <c r="AA113" s="904">
        <v>0</v>
      </c>
      <c r="AB113" s="771">
        <f t="shared" ref="AB113:AB140" si="15">AG113</f>
        <v>0</v>
      </c>
      <c r="AD113" s="733" t="str">
        <f>A113</f>
        <v>Eastern Florida State College</v>
      </c>
      <c r="AE113" s="907">
        <v>0</v>
      </c>
      <c r="AF113" s="907">
        <v>0</v>
      </c>
      <c r="AG113" s="773">
        <f t="shared" ref="AG113:AG140" si="16">AE113+AF113</f>
        <v>0</v>
      </c>
      <c r="AI113" s="1215" t="s">
        <v>645</v>
      </c>
      <c r="AJ113" s="1215"/>
      <c r="AK113" s="1215"/>
      <c r="AL113" s="1215"/>
      <c r="AM113" s="1215"/>
      <c r="AN113" s="1215"/>
      <c r="AO113" s="70">
        <f>X141+AB141</f>
        <v>6187</v>
      </c>
      <c r="AP113" s="37"/>
      <c r="AR113" s="63"/>
      <c r="AS113" s="63"/>
      <c r="AT113" s="63"/>
      <c r="AU113" s="37"/>
      <c r="AY113" s="37"/>
      <c r="AZ113" s="37"/>
      <c r="BA113" s="37"/>
      <c r="BB113" s="37"/>
    </row>
    <row r="114" spans="1:54" ht="25.15" customHeight="1">
      <c r="A114" s="734" t="str">
        <f t="shared" si="8"/>
        <v>Broward College</v>
      </c>
      <c r="B114" s="880">
        <v>1179</v>
      </c>
      <c r="C114" s="97"/>
      <c r="D114" s="756">
        <f t="shared" si="9"/>
        <v>1179</v>
      </c>
      <c r="E114" s="880">
        <v>15451.280608077364</v>
      </c>
      <c r="F114" s="883">
        <v>528.54821803509662</v>
      </c>
      <c r="G114" s="756">
        <f t="shared" si="10"/>
        <v>15979.828826112462</v>
      </c>
      <c r="H114" s="887">
        <v>7028.4877766526834</v>
      </c>
      <c r="I114" s="888">
        <v>257.56458845653117</v>
      </c>
      <c r="J114" s="756">
        <f t="shared" ref="J114:J140" si="17">H114+I114</f>
        <v>7286.0523651092144</v>
      </c>
      <c r="K114" s="893">
        <v>1548.7973966613672</v>
      </c>
      <c r="L114" s="894">
        <v>172.20260333863271</v>
      </c>
      <c r="M114" s="760">
        <f t="shared" si="11"/>
        <v>1721</v>
      </c>
      <c r="N114" s="893">
        <v>37.673469387755105</v>
      </c>
      <c r="O114" s="894">
        <v>1.3265306122448979</v>
      </c>
      <c r="P114" s="760">
        <f t="shared" si="12"/>
        <v>39</v>
      </c>
      <c r="Q114" s="893">
        <v>462.90426880811498</v>
      </c>
      <c r="R114" s="898">
        <v>10.095731191885038</v>
      </c>
      <c r="S114" s="756">
        <f t="shared" si="13"/>
        <v>473</v>
      </c>
      <c r="T114" s="85">
        <f t="shared" si="14"/>
        <v>26677.881191221677</v>
      </c>
      <c r="V114" s="765">
        <f t="shared" ref="V114:V140" si="18">X114-W114</f>
        <v>0</v>
      </c>
      <c r="W114" s="902">
        <v>0</v>
      </c>
      <c r="X114" s="903">
        <v>0</v>
      </c>
      <c r="Y114" s="130"/>
      <c r="Z114" s="769">
        <f t="shared" ref="Z114:Z140" si="19">AB114-AA114</f>
        <v>0</v>
      </c>
      <c r="AA114" s="905">
        <v>0</v>
      </c>
      <c r="AB114" s="771">
        <f t="shared" si="15"/>
        <v>0</v>
      </c>
      <c r="AD114" s="741" t="str">
        <f>A114</f>
        <v>Broward College</v>
      </c>
      <c r="AE114" s="908">
        <v>0</v>
      </c>
      <c r="AF114" s="908">
        <v>0</v>
      </c>
      <c r="AG114" s="774">
        <f t="shared" si="16"/>
        <v>0</v>
      </c>
      <c r="AI114" s="1215" t="s">
        <v>632</v>
      </c>
      <c r="AJ114" s="1215"/>
      <c r="AK114" s="1215"/>
      <c r="AL114" s="1215"/>
      <c r="AM114" s="1215"/>
      <c r="AN114" s="1215"/>
      <c r="AO114" s="910">
        <v>25391.208508145679</v>
      </c>
      <c r="AP114" s="37"/>
      <c r="AR114" s="775"/>
      <c r="AS114" s="775"/>
      <c r="AT114" s="775"/>
      <c r="AU114" s="775"/>
      <c r="AV114" s="775"/>
      <c r="AW114" s="775"/>
      <c r="AX114" s="775"/>
      <c r="AY114" s="37"/>
      <c r="AZ114" s="37"/>
      <c r="BA114" s="37"/>
      <c r="BB114" s="37"/>
    </row>
    <row r="115" spans="1:54" ht="25.15" customHeight="1">
      <c r="A115" s="735" t="str">
        <f t="shared" si="8"/>
        <v>College of Central Florida</v>
      </c>
      <c r="B115" s="880">
        <v>330</v>
      </c>
      <c r="C115" s="97"/>
      <c r="D115" s="756">
        <f t="shared" si="9"/>
        <v>330</v>
      </c>
      <c r="E115" s="880">
        <v>2592.1975818984274</v>
      </c>
      <c r="F115" s="883">
        <v>111.18881705725119</v>
      </c>
      <c r="G115" s="756">
        <f t="shared" si="10"/>
        <v>2703.3863989556785</v>
      </c>
      <c r="H115" s="887">
        <v>1127.6590740893018</v>
      </c>
      <c r="I115" s="888">
        <v>33.752651920072367</v>
      </c>
      <c r="J115" s="756">
        <f t="shared" si="17"/>
        <v>1161.4117260093742</v>
      </c>
      <c r="K115" s="893">
        <v>143.66628041714949</v>
      </c>
      <c r="L115" s="894">
        <v>20.33371958285052</v>
      </c>
      <c r="M115" s="760">
        <f t="shared" si="11"/>
        <v>164</v>
      </c>
      <c r="N115" s="893">
        <v>0</v>
      </c>
      <c r="O115" s="894">
        <v>0</v>
      </c>
      <c r="P115" s="760">
        <f t="shared" si="12"/>
        <v>0</v>
      </c>
      <c r="Q115" s="893">
        <v>97.320039389463318</v>
      </c>
      <c r="R115" s="898">
        <v>2.9837518463810935</v>
      </c>
      <c r="S115" s="756">
        <f t="shared" si="13"/>
        <v>100.30379123584441</v>
      </c>
      <c r="T115" s="85">
        <f t="shared" si="14"/>
        <v>4459.101916200897</v>
      </c>
      <c r="V115" s="765">
        <f t="shared" si="18"/>
        <v>0</v>
      </c>
      <c r="W115" s="902">
        <v>0</v>
      </c>
      <c r="X115" s="903">
        <v>0</v>
      </c>
      <c r="Y115" s="130"/>
      <c r="Z115" s="769">
        <f t="shared" si="19"/>
        <v>3.3142857142857149</v>
      </c>
      <c r="AA115" s="905">
        <v>12.685714285714285</v>
      </c>
      <c r="AB115" s="771">
        <f t="shared" si="15"/>
        <v>16</v>
      </c>
      <c r="AD115" s="735" t="str">
        <f t="shared" ref="AD115:AD140" si="20">A115</f>
        <v>College of Central Florida</v>
      </c>
      <c r="AE115" s="908">
        <v>16</v>
      </c>
      <c r="AF115" s="908">
        <v>0</v>
      </c>
      <c r="AG115" s="774">
        <f t="shared" si="16"/>
        <v>16</v>
      </c>
      <c r="AI115" s="1215" t="s">
        <v>633</v>
      </c>
      <c r="AJ115" s="1215"/>
      <c r="AK115" s="1215"/>
      <c r="AL115" s="1215"/>
      <c r="AM115" s="1215"/>
      <c r="AN115" s="1215"/>
      <c r="AO115" s="911">
        <f>4403-2.8</f>
        <v>4400.2</v>
      </c>
      <c r="AP115" s="37"/>
      <c r="AR115" s="37"/>
      <c r="AS115" s="37"/>
      <c r="AT115" s="37"/>
      <c r="AU115" s="37"/>
      <c r="AV115" s="37"/>
      <c r="AW115" s="37"/>
      <c r="AX115" s="37"/>
      <c r="AY115" s="37"/>
      <c r="AZ115" s="37"/>
      <c r="BA115" s="37"/>
      <c r="BB115" s="37"/>
    </row>
    <row r="116" spans="1:54" ht="25.15" customHeight="1">
      <c r="A116" s="735" t="str">
        <f t="shared" si="8"/>
        <v>Chipola College</v>
      </c>
      <c r="B116" s="880">
        <v>126</v>
      </c>
      <c r="C116" s="97"/>
      <c r="D116" s="756">
        <f t="shared" si="9"/>
        <v>126</v>
      </c>
      <c r="E116" s="880">
        <v>666.2252384446075</v>
      </c>
      <c r="F116" s="883">
        <v>50.990147783251231</v>
      </c>
      <c r="G116" s="756">
        <f t="shared" si="10"/>
        <v>717.21538622785874</v>
      </c>
      <c r="H116" s="887">
        <v>216.68571428571428</v>
      </c>
      <c r="I116" s="888">
        <v>6.6000000000000005</v>
      </c>
      <c r="J116" s="756">
        <f t="shared" si="17"/>
        <v>223.28571428571428</v>
      </c>
      <c r="K116" s="893">
        <v>15.030821917808218</v>
      </c>
      <c r="L116" s="894">
        <v>3.9691780821917808</v>
      </c>
      <c r="M116" s="760">
        <f t="shared" si="11"/>
        <v>19</v>
      </c>
      <c r="N116" s="893">
        <v>0</v>
      </c>
      <c r="O116" s="894">
        <v>0</v>
      </c>
      <c r="P116" s="760">
        <f t="shared" si="12"/>
        <v>0</v>
      </c>
      <c r="Q116" s="893">
        <v>129.07489597780861</v>
      </c>
      <c r="R116" s="898">
        <v>1.8585298196948683</v>
      </c>
      <c r="S116" s="756">
        <f t="shared" si="13"/>
        <v>130.93342579750347</v>
      </c>
      <c r="T116" s="85">
        <f t="shared" si="14"/>
        <v>1216.4345263110765</v>
      </c>
      <c r="V116" s="765">
        <f t="shared" si="18"/>
        <v>0</v>
      </c>
      <c r="W116" s="902">
        <v>0</v>
      </c>
      <c r="X116" s="903">
        <v>0</v>
      </c>
      <c r="Y116" s="130"/>
      <c r="Z116" s="769">
        <f t="shared" si="19"/>
        <v>0</v>
      </c>
      <c r="AA116" s="905">
        <v>0</v>
      </c>
      <c r="AB116" s="771">
        <f t="shared" si="15"/>
        <v>0</v>
      </c>
      <c r="AD116" s="735" t="str">
        <f t="shared" si="20"/>
        <v>Chipola College</v>
      </c>
      <c r="AE116" s="908">
        <v>0</v>
      </c>
      <c r="AF116" s="908">
        <v>0</v>
      </c>
      <c r="AG116" s="774">
        <f t="shared" si="16"/>
        <v>0</v>
      </c>
      <c r="AI116" s="63" t="s">
        <v>222</v>
      </c>
      <c r="AJ116" s="63"/>
      <c r="AK116" s="63"/>
      <c r="AL116" s="63"/>
      <c r="AM116" s="63"/>
      <c r="AN116" s="63"/>
      <c r="AO116" s="69">
        <f>SUM(AO113:AO115)</f>
        <v>35978.40850814568</v>
      </c>
      <c r="AP116" s="37"/>
      <c r="AR116" s="775"/>
      <c r="AS116" s="775"/>
      <c r="AT116" s="775"/>
      <c r="AU116" s="775"/>
      <c r="AV116" s="775"/>
      <c r="AW116" s="775"/>
      <c r="AX116" s="775"/>
    </row>
    <row r="117" spans="1:54" ht="25.15" customHeight="1">
      <c r="A117" s="735" t="str">
        <f t="shared" si="8"/>
        <v>Daytona State College</v>
      </c>
      <c r="B117" s="880">
        <v>916</v>
      </c>
      <c r="C117" s="97"/>
      <c r="D117" s="756">
        <f t="shared" si="9"/>
        <v>916</v>
      </c>
      <c r="E117" s="880">
        <v>5183.9919500391316</v>
      </c>
      <c r="F117" s="883">
        <v>523.12121260521656</v>
      </c>
      <c r="G117" s="756">
        <f t="shared" si="10"/>
        <v>5707.1131626443484</v>
      </c>
      <c r="H117" s="887">
        <v>2098.7909149902662</v>
      </c>
      <c r="I117" s="888">
        <v>128.44771793207875</v>
      </c>
      <c r="J117" s="756">
        <f t="shared" si="17"/>
        <v>2227.238632922345</v>
      </c>
      <c r="K117" s="893">
        <v>166.38403755868543</v>
      </c>
      <c r="L117" s="894">
        <v>14.615962441314553</v>
      </c>
      <c r="M117" s="760">
        <f t="shared" si="11"/>
        <v>181</v>
      </c>
      <c r="N117" s="893">
        <v>1.8461538461538463</v>
      </c>
      <c r="O117" s="894">
        <v>0.15384615384615385</v>
      </c>
      <c r="P117" s="760">
        <f t="shared" si="12"/>
        <v>2</v>
      </c>
      <c r="Q117" s="893">
        <v>607.54677513073796</v>
      </c>
      <c r="R117" s="898">
        <v>79.353864032539221</v>
      </c>
      <c r="S117" s="756">
        <f t="shared" si="13"/>
        <v>686.90063916327722</v>
      </c>
      <c r="T117" s="85">
        <f t="shared" si="14"/>
        <v>9720.2524347299714</v>
      </c>
      <c r="V117" s="765">
        <f t="shared" si="18"/>
        <v>2.4000000000000004</v>
      </c>
      <c r="W117" s="902">
        <v>4.5999999999999996</v>
      </c>
      <c r="X117" s="903">
        <v>7</v>
      </c>
      <c r="Y117" s="130"/>
      <c r="Z117" s="769">
        <f t="shared" si="19"/>
        <v>71.334461092315109</v>
      </c>
      <c r="AA117" s="905">
        <v>756.66553890768489</v>
      </c>
      <c r="AB117" s="771">
        <f t="shared" si="15"/>
        <v>828</v>
      </c>
      <c r="AD117" s="735" t="str">
        <f t="shared" si="20"/>
        <v>Daytona State College</v>
      </c>
      <c r="AE117" s="908">
        <v>703</v>
      </c>
      <c r="AF117" s="908">
        <v>125</v>
      </c>
      <c r="AG117" s="774">
        <f t="shared" si="16"/>
        <v>828</v>
      </c>
      <c r="AP117" s="37"/>
      <c r="AS117" s="63"/>
      <c r="AT117" s="37"/>
      <c r="AU117" s="37"/>
      <c r="AV117" s="37"/>
      <c r="AW117" s="37"/>
    </row>
    <row r="118" spans="1:54" ht="25.15" customHeight="1">
      <c r="A118" s="735" t="str">
        <f t="shared" si="8"/>
        <v>Florida SouthWestern State College</v>
      </c>
      <c r="B118" s="880">
        <v>597</v>
      </c>
      <c r="C118" s="97"/>
      <c r="D118" s="756">
        <f t="shared" si="9"/>
        <v>597</v>
      </c>
      <c r="E118" s="880">
        <v>7828.9717216901872</v>
      </c>
      <c r="F118" s="883">
        <v>241.95808131720429</v>
      </c>
      <c r="G118" s="756">
        <f t="shared" si="10"/>
        <v>8070.9298030073915</v>
      </c>
      <c r="H118" s="887">
        <v>541.79047619047617</v>
      </c>
      <c r="I118" s="888">
        <v>4.0255411255411255</v>
      </c>
      <c r="J118" s="756">
        <f t="shared" si="17"/>
        <v>545.81601731601734</v>
      </c>
      <c r="K118" s="893">
        <v>216.38809344385834</v>
      </c>
      <c r="L118" s="894">
        <v>21.611906556141676</v>
      </c>
      <c r="M118" s="760">
        <f t="shared" si="11"/>
        <v>238</v>
      </c>
      <c r="N118" s="893">
        <v>0</v>
      </c>
      <c r="O118" s="894">
        <v>0</v>
      </c>
      <c r="P118" s="760">
        <f t="shared" si="12"/>
        <v>0</v>
      </c>
      <c r="Q118" s="893">
        <v>28.292682926829269</v>
      </c>
      <c r="R118" s="898">
        <v>0.70731707317073167</v>
      </c>
      <c r="S118" s="756">
        <f t="shared" si="13"/>
        <v>29</v>
      </c>
      <c r="T118" s="85">
        <f t="shared" si="14"/>
        <v>9480.7458203234091</v>
      </c>
      <c r="V118" s="765">
        <f t="shared" si="18"/>
        <v>0</v>
      </c>
      <c r="W118" s="902">
        <v>0</v>
      </c>
      <c r="X118" s="903">
        <v>0</v>
      </c>
      <c r="Y118" s="130"/>
      <c r="Z118" s="769">
        <f t="shared" si="19"/>
        <v>0</v>
      </c>
      <c r="AA118" s="905">
        <v>0</v>
      </c>
      <c r="AB118" s="771">
        <f t="shared" si="15"/>
        <v>0</v>
      </c>
      <c r="AD118" s="735" t="str">
        <f t="shared" si="20"/>
        <v>Florida SouthWestern State College</v>
      </c>
      <c r="AE118" s="908">
        <v>0</v>
      </c>
      <c r="AF118" s="908">
        <v>0</v>
      </c>
      <c r="AG118" s="774">
        <f t="shared" si="16"/>
        <v>0</v>
      </c>
      <c r="AI118" s="63" t="s">
        <v>770</v>
      </c>
      <c r="AJ118" s="37"/>
      <c r="AK118" s="37"/>
      <c r="AL118" s="37"/>
      <c r="AM118" s="37"/>
      <c r="AN118" s="37"/>
      <c r="AO118" s="910">
        <v>320691</v>
      </c>
      <c r="AR118" s="63"/>
      <c r="AS118" s="63"/>
      <c r="AT118" s="37"/>
      <c r="AU118" s="37"/>
      <c r="AV118" s="37"/>
      <c r="AW118" s="37"/>
    </row>
    <row r="119" spans="1:54" ht="25.15" customHeight="1">
      <c r="A119" s="735" t="str">
        <f t="shared" si="8"/>
        <v>Florida State College at Jacksonville</v>
      </c>
      <c r="B119" s="880">
        <v>1783</v>
      </c>
      <c r="C119" s="97"/>
      <c r="D119" s="756">
        <f t="shared" si="9"/>
        <v>1783</v>
      </c>
      <c r="E119" s="880">
        <v>8489.2323448214429</v>
      </c>
      <c r="F119" s="883">
        <v>326.06666666666666</v>
      </c>
      <c r="G119" s="756">
        <f t="shared" si="10"/>
        <v>8815.2990114881104</v>
      </c>
      <c r="H119" s="887">
        <v>3207.1411642470025</v>
      </c>
      <c r="I119" s="888">
        <v>88.099014349498745</v>
      </c>
      <c r="J119" s="756">
        <f t="shared" si="17"/>
        <v>3295.2401785965012</v>
      </c>
      <c r="K119" s="893">
        <v>581.20188843334574</v>
      </c>
      <c r="L119" s="894">
        <v>35.798111566654242</v>
      </c>
      <c r="M119" s="760">
        <f t="shared" si="11"/>
        <v>617</v>
      </c>
      <c r="N119" s="893">
        <v>0</v>
      </c>
      <c r="O119" s="894">
        <v>0</v>
      </c>
      <c r="P119" s="760">
        <f t="shared" si="12"/>
        <v>0</v>
      </c>
      <c r="Q119" s="893">
        <v>766.68786778515084</v>
      </c>
      <c r="R119" s="898">
        <v>26.009765869537997</v>
      </c>
      <c r="S119" s="756">
        <f t="shared" si="13"/>
        <v>792.69763365468884</v>
      </c>
      <c r="T119" s="85">
        <f t="shared" si="14"/>
        <v>15303.2368237393</v>
      </c>
      <c r="V119" s="765">
        <f t="shared" si="18"/>
        <v>0</v>
      </c>
      <c r="W119" s="902">
        <v>0</v>
      </c>
      <c r="X119" s="903">
        <v>0</v>
      </c>
      <c r="Y119" s="130"/>
      <c r="Z119" s="769">
        <f t="shared" si="19"/>
        <v>137.918867150089</v>
      </c>
      <c r="AA119" s="905">
        <v>593.081132849911</v>
      </c>
      <c r="AB119" s="771">
        <f t="shared" si="15"/>
        <v>731</v>
      </c>
      <c r="AD119" s="735" t="str">
        <f t="shared" si="20"/>
        <v>Florida State College at Jacksonville</v>
      </c>
      <c r="AE119" s="908">
        <v>625</v>
      </c>
      <c r="AF119" s="908">
        <v>106</v>
      </c>
      <c r="AG119" s="774">
        <f t="shared" si="16"/>
        <v>731</v>
      </c>
      <c r="AM119" s="37"/>
      <c r="AN119" s="37"/>
      <c r="AO119" s="68">
        <f>AO116</f>
        <v>35978.40850814568</v>
      </c>
      <c r="AP119" s="37"/>
      <c r="AQ119" s="63"/>
      <c r="AR119" s="63"/>
      <c r="AS119" s="63"/>
      <c r="AT119" s="37"/>
      <c r="AU119" s="37"/>
      <c r="AV119" s="37"/>
      <c r="AW119" s="37"/>
    </row>
    <row r="120" spans="1:54" ht="25.15" customHeight="1">
      <c r="A120" s="735" t="str">
        <f t="shared" si="8"/>
        <v>Florida Keys Community College</v>
      </c>
      <c r="B120" s="880">
        <v>23</v>
      </c>
      <c r="C120" s="97"/>
      <c r="D120" s="756">
        <f t="shared" si="9"/>
        <v>23</v>
      </c>
      <c r="E120" s="880">
        <v>336.8369947275923</v>
      </c>
      <c r="F120" s="883">
        <v>39.769332161687167</v>
      </c>
      <c r="G120" s="756">
        <f t="shared" si="10"/>
        <v>376.60632688927944</v>
      </c>
      <c r="H120" s="887">
        <v>182.69115364718053</v>
      </c>
      <c r="I120" s="888">
        <v>22.381272633212621</v>
      </c>
      <c r="J120" s="756">
        <f t="shared" si="17"/>
        <v>205.07242628039316</v>
      </c>
      <c r="K120" s="893">
        <v>13.018181818181819</v>
      </c>
      <c r="L120" s="894">
        <v>2.9818181818181815</v>
      </c>
      <c r="M120" s="760">
        <f t="shared" si="11"/>
        <v>16</v>
      </c>
      <c r="N120" s="893">
        <v>0</v>
      </c>
      <c r="O120" s="894">
        <v>0</v>
      </c>
      <c r="P120" s="760">
        <f t="shared" si="12"/>
        <v>0</v>
      </c>
      <c r="Q120" s="893">
        <v>51.113585746102451</v>
      </c>
      <c r="R120" s="898">
        <v>2.8864142538975504</v>
      </c>
      <c r="S120" s="756">
        <f t="shared" si="13"/>
        <v>54</v>
      </c>
      <c r="T120" s="85">
        <f t="shared" si="14"/>
        <v>674.67875316967263</v>
      </c>
      <c r="V120" s="765">
        <f t="shared" si="18"/>
        <v>0</v>
      </c>
      <c r="W120" s="902">
        <v>0</v>
      </c>
      <c r="X120" s="903">
        <v>0</v>
      </c>
      <c r="Y120" s="130"/>
      <c r="Z120" s="769">
        <f t="shared" si="19"/>
        <v>0</v>
      </c>
      <c r="AA120" s="905">
        <v>0</v>
      </c>
      <c r="AB120" s="771">
        <f t="shared" si="15"/>
        <v>0</v>
      </c>
      <c r="AD120" s="735" t="str">
        <f t="shared" si="20"/>
        <v>Florida Keys Community College</v>
      </c>
      <c r="AE120" s="908">
        <v>0</v>
      </c>
      <c r="AF120" s="908">
        <v>0</v>
      </c>
      <c r="AG120" s="774">
        <f t="shared" si="16"/>
        <v>0</v>
      </c>
      <c r="AI120" s="1211" t="s">
        <v>772</v>
      </c>
      <c r="AJ120" s="1211"/>
      <c r="AK120" s="1211"/>
      <c r="AL120" s="1211"/>
      <c r="AM120" s="1211"/>
      <c r="AN120" s="1211"/>
      <c r="AO120" s="743">
        <f>AO118-AO119</f>
        <v>284712.59149185434</v>
      </c>
      <c r="AP120" s="37"/>
      <c r="AQ120" s="37"/>
      <c r="AR120" s="37"/>
      <c r="AS120" s="37"/>
      <c r="AT120" s="37"/>
      <c r="AU120" s="37"/>
    </row>
    <row r="121" spans="1:54" ht="25.15" customHeight="1">
      <c r="A121" s="735" t="str">
        <f t="shared" si="8"/>
        <v>Gulf Coast State College</v>
      </c>
      <c r="B121" s="880">
        <v>138</v>
      </c>
      <c r="C121" s="97"/>
      <c r="D121" s="756">
        <f t="shared" si="9"/>
        <v>138</v>
      </c>
      <c r="E121" s="880">
        <v>2108.1479223547894</v>
      </c>
      <c r="F121" s="883">
        <v>99.274002318883944</v>
      </c>
      <c r="G121" s="756">
        <f t="shared" si="10"/>
        <v>2207.4219246736734</v>
      </c>
      <c r="H121" s="887">
        <v>588.5780346820809</v>
      </c>
      <c r="I121" s="888">
        <v>19.052023121387283</v>
      </c>
      <c r="J121" s="756">
        <f t="shared" si="17"/>
        <v>607.63005780346816</v>
      </c>
      <c r="K121" s="893">
        <v>63.063469675599436</v>
      </c>
      <c r="L121" s="894">
        <v>5.9365303244005636</v>
      </c>
      <c r="M121" s="760">
        <f t="shared" si="11"/>
        <v>69</v>
      </c>
      <c r="N121" s="893">
        <v>21.16</v>
      </c>
      <c r="O121" s="894">
        <v>1.84</v>
      </c>
      <c r="P121" s="760">
        <f t="shared" si="12"/>
        <v>23</v>
      </c>
      <c r="Q121" s="893">
        <v>134.39477503628447</v>
      </c>
      <c r="R121" s="898">
        <v>3.6052249637155294</v>
      </c>
      <c r="S121" s="756">
        <f t="shared" si="13"/>
        <v>138</v>
      </c>
      <c r="T121" s="85">
        <f t="shared" si="14"/>
        <v>3183.0519824771418</v>
      </c>
      <c r="V121" s="765">
        <f t="shared" si="18"/>
        <v>0</v>
      </c>
      <c r="W121" s="902">
        <v>0</v>
      </c>
      <c r="X121" s="903">
        <v>0</v>
      </c>
      <c r="Y121" s="130"/>
      <c r="Z121" s="769">
        <f t="shared" si="19"/>
        <v>0</v>
      </c>
      <c r="AA121" s="905">
        <v>0</v>
      </c>
      <c r="AB121" s="771">
        <f t="shared" si="15"/>
        <v>0</v>
      </c>
      <c r="AD121" s="735" t="str">
        <f t="shared" si="20"/>
        <v>Gulf Coast State College</v>
      </c>
      <c r="AE121" s="908">
        <v>0</v>
      </c>
      <c r="AF121" s="908">
        <v>0</v>
      </c>
      <c r="AG121" s="774">
        <f t="shared" si="16"/>
        <v>0</v>
      </c>
      <c r="AP121" s="37"/>
      <c r="AQ121" s="37"/>
      <c r="AR121" s="37"/>
      <c r="AS121" s="37"/>
      <c r="AT121" s="37"/>
      <c r="AU121" s="37"/>
    </row>
    <row r="122" spans="1:54" ht="25.15" customHeight="1">
      <c r="A122" s="735" t="str">
        <f t="shared" si="8"/>
        <v>Hillsborough Community College</v>
      </c>
      <c r="B122" s="880">
        <v>0</v>
      </c>
      <c r="C122" s="97"/>
      <c r="D122" s="756">
        <f t="shared" si="9"/>
        <v>0</v>
      </c>
      <c r="E122" s="880">
        <v>12015.43164242003</v>
      </c>
      <c r="F122" s="883">
        <v>472.61578982762103</v>
      </c>
      <c r="G122" s="756">
        <f t="shared" si="10"/>
        <v>12488.047432247651</v>
      </c>
      <c r="H122" s="887">
        <v>3205.9329332752941</v>
      </c>
      <c r="I122" s="888">
        <v>88.146725949878743</v>
      </c>
      <c r="J122" s="756">
        <f t="shared" si="17"/>
        <v>3294.0796592251727</v>
      </c>
      <c r="K122" s="893">
        <v>991.65827969572854</v>
      </c>
      <c r="L122" s="894">
        <v>55.341720304271504</v>
      </c>
      <c r="M122" s="760">
        <f t="shared" si="11"/>
        <v>1047</v>
      </c>
      <c r="N122" s="893">
        <v>65.647812166488791</v>
      </c>
      <c r="O122" s="894">
        <v>0.35218783351120597</v>
      </c>
      <c r="P122" s="760">
        <f t="shared" si="12"/>
        <v>66</v>
      </c>
      <c r="Q122" s="893">
        <v>406.20562560620755</v>
      </c>
      <c r="R122" s="898">
        <v>5.7943743937924346</v>
      </c>
      <c r="S122" s="756">
        <f t="shared" si="13"/>
        <v>412</v>
      </c>
      <c r="T122" s="85">
        <f t="shared" si="14"/>
        <v>17307.127091472823</v>
      </c>
      <c r="V122" s="765">
        <f t="shared" si="18"/>
        <v>0</v>
      </c>
      <c r="W122" s="902">
        <v>0</v>
      </c>
      <c r="X122" s="903">
        <v>0</v>
      </c>
      <c r="Y122" s="130"/>
      <c r="Z122" s="769">
        <f t="shared" si="19"/>
        <v>45.289617486338798</v>
      </c>
      <c r="AA122" s="905">
        <v>28.710382513661202</v>
      </c>
      <c r="AB122" s="771">
        <f t="shared" si="15"/>
        <v>74</v>
      </c>
      <c r="AD122" s="735" t="str">
        <f t="shared" si="20"/>
        <v>Hillsborough Community College</v>
      </c>
      <c r="AE122" s="908">
        <v>59</v>
      </c>
      <c r="AF122" s="908">
        <v>15</v>
      </c>
      <c r="AG122" s="774">
        <f t="shared" si="16"/>
        <v>74</v>
      </c>
      <c r="AI122" s="1211" t="s">
        <v>771</v>
      </c>
      <c r="AJ122" s="1211"/>
      <c r="AK122" s="1211"/>
      <c r="AL122" s="1211"/>
      <c r="AM122" s="1211"/>
      <c r="AN122" s="1211"/>
      <c r="AO122" s="744">
        <f>AO116+AO120</f>
        <v>320691</v>
      </c>
      <c r="AP122" s="37"/>
      <c r="AQ122" s="37"/>
      <c r="AR122" s="37"/>
      <c r="AS122" s="37"/>
      <c r="AT122" s="37"/>
      <c r="AU122" s="37"/>
    </row>
    <row r="123" spans="1:54" ht="25.15" customHeight="1">
      <c r="A123" s="735" t="str">
        <f t="shared" si="8"/>
        <v>Indian River State College</v>
      </c>
      <c r="B123" s="880">
        <v>1500</v>
      </c>
      <c r="C123" s="97"/>
      <c r="D123" s="756">
        <f t="shared" si="9"/>
        <v>1500</v>
      </c>
      <c r="E123" s="880">
        <v>5241.1714371469889</v>
      </c>
      <c r="F123" s="883">
        <v>108.31410133973641</v>
      </c>
      <c r="G123" s="756">
        <f t="shared" si="10"/>
        <v>5349.4855384867251</v>
      </c>
      <c r="H123" s="887">
        <v>2304.6789943103181</v>
      </c>
      <c r="I123" s="888">
        <v>37.744848531447026</v>
      </c>
      <c r="J123" s="756">
        <f t="shared" si="17"/>
        <v>2342.4238428417652</v>
      </c>
      <c r="K123" s="893">
        <v>178.21182266009853</v>
      </c>
      <c r="L123" s="894">
        <v>7.7881773399014786</v>
      </c>
      <c r="M123" s="760">
        <f t="shared" si="11"/>
        <v>186</v>
      </c>
      <c r="N123" s="893">
        <v>0</v>
      </c>
      <c r="O123" s="894">
        <v>0</v>
      </c>
      <c r="P123" s="760">
        <f t="shared" si="12"/>
        <v>0</v>
      </c>
      <c r="Q123" s="893">
        <v>666.1131161971831</v>
      </c>
      <c r="R123" s="898">
        <v>8.8921654929577461</v>
      </c>
      <c r="S123" s="756">
        <f t="shared" si="13"/>
        <v>675.00528169014081</v>
      </c>
      <c r="T123" s="85">
        <f t="shared" si="14"/>
        <v>10052.914663018631</v>
      </c>
      <c r="V123" s="765">
        <f t="shared" si="18"/>
        <v>0</v>
      </c>
      <c r="W123" s="902">
        <v>0</v>
      </c>
      <c r="X123" s="903">
        <v>0</v>
      </c>
      <c r="Y123" s="130"/>
      <c r="Z123" s="769">
        <f t="shared" si="19"/>
        <v>741.66089031856382</v>
      </c>
      <c r="AA123" s="905">
        <v>221.33910968143616</v>
      </c>
      <c r="AB123" s="771">
        <f t="shared" si="15"/>
        <v>963</v>
      </c>
      <c r="AD123" s="735" t="str">
        <f t="shared" si="20"/>
        <v>Indian River State College</v>
      </c>
      <c r="AE123" s="908">
        <v>854</v>
      </c>
      <c r="AF123" s="908">
        <v>109</v>
      </c>
      <c r="AG123" s="774">
        <f t="shared" si="16"/>
        <v>963</v>
      </c>
      <c r="AM123" s="37"/>
      <c r="AN123" s="37"/>
      <c r="AO123" s="37"/>
      <c r="AP123" s="37"/>
      <c r="AQ123" s="37"/>
      <c r="AR123" s="37"/>
      <c r="AS123" s="37"/>
      <c r="AT123" s="37"/>
      <c r="AU123" s="37"/>
    </row>
    <row r="124" spans="1:54" ht="25.15" customHeight="1">
      <c r="A124" s="735" t="str">
        <f t="shared" si="8"/>
        <v>Florida Gateway College</v>
      </c>
      <c r="B124" s="880">
        <v>59</v>
      </c>
      <c r="C124" s="97"/>
      <c r="D124" s="756">
        <f t="shared" si="9"/>
        <v>59</v>
      </c>
      <c r="E124" s="880">
        <v>934.20119760479031</v>
      </c>
      <c r="F124" s="883">
        <v>6.3728777738640368</v>
      </c>
      <c r="G124" s="756">
        <f t="shared" si="10"/>
        <v>940.57407537865436</v>
      </c>
      <c r="H124" s="887">
        <v>425.88218793828889</v>
      </c>
      <c r="I124" s="888">
        <v>4.3894343151005133</v>
      </c>
      <c r="J124" s="756">
        <f t="shared" si="17"/>
        <v>430.27162225338941</v>
      </c>
      <c r="K124" s="893">
        <v>59.350649350649348</v>
      </c>
      <c r="L124" s="894">
        <v>0.64935064935064934</v>
      </c>
      <c r="M124" s="760">
        <f t="shared" si="11"/>
        <v>60</v>
      </c>
      <c r="N124" s="893">
        <v>18</v>
      </c>
      <c r="O124" s="894">
        <v>0</v>
      </c>
      <c r="P124" s="760">
        <f t="shared" si="12"/>
        <v>18</v>
      </c>
      <c r="Q124" s="893">
        <v>226.88950988822012</v>
      </c>
      <c r="R124" s="898">
        <v>1.2020636285468616</v>
      </c>
      <c r="S124" s="756">
        <f t="shared" si="13"/>
        <v>228.09157351676697</v>
      </c>
      <c r="T124" s="85">
        <f t="shared" si="14"/>
        <v>1735.9372711488109</v>
      </c>
      <c r="V124" s="765">
        <f t="shared" si="18"/>
        <v>0</v>
      </c>
      <c r="W124" s="902">
        <v>0</v>
      </c>
      <c r="X124" s="903">
        <v>0</v>
      </c>
      <c r="Y124" s="130"/>
      <c r="Z124" s="769">
        <f t="shared" si="19"/>
        <v>0</v>
      </c>
      <c r="AA124" s="905">
        <v>0</v>
      </c>
      <c r="AB124" s="771">
        <f t="shared" si="15"/>
        <v>0</v>
      </c>
      <c r="AD124" s="735" t="str">
        <f t="shared" si="20"/>
        <v>Florida Gateway College</v>
      </c>
      <c r="AE124" s="908">
        <v>0</v>
      </c>
      <c r="AF124" s="908">
        <v>0</v>
      </c>
      <c r="AG124" s="774">
        <f t="shared" si="16"/>
        <v>0</v>
      </c>
    </row>
    <row r="125" spans="1:54" ht="25.15" customHeight="1">
      <c r="A125" s="735" t="str">
        <f t="shared" si="8"/>
        <v>Lake-Sumter State College</v>
      </c>
      <c r="B125" s="880">
        <v>50</v>
      </c>
      <c r="C125" s="97"/>
      <c r="D125" s="756">
        <f t="shared" si="9"/>
        <v>50</v>
      </c>
      <c r="E125" s="880">
        <v>1960.5353571913315</v>
      </c>
      <c r="F125" s="883">
        <v>17.986562910012214</v>
      </c>
      <c r="G125" s="756">
        <f t="shared" si="10"/>
        <v>1978.5219201013438</v>
      </c>
      <c r="H125" s="887">
        <v>496.02400384061445</v>
      </c>
      <c r="I125" s="888">
        <v>2.987037926068171</v>
      </c>
      <c r="J125" s="756">
        <f t="shared" si="17"/>
        <v>499.01104176668264</v>
      </c>
      <c r="K125" s="893">
        <v>78.730158730158735</v>
      </c>
      <c r="L125" s="894">
        <v>1.2698412698412698</v>
      </c>
      <c r="M125" s="760">
        <f t="shared" si="11"/>
        <v>80</v>
      </c>
      <c r="N125" s="893">
        <v>0</v>
      </c>
      <c r="O125" s="894">
        <v>0</v>
      </c>
      <c r="P125" s="760">
        <f t="shared" si="12"/>
        <v>0</v>
      </c>
      <c r="Q125" s="893">
        <v>0</v>
      </c>
      <c r="R125" s="898">
        <v>0</v>
      </c>
      <c r="S125" s="756">
        <f t="shared" si="13"/>
        <v>0</v>
      </c>
      <c r="T125" s="85">
        <f t="shared" si="14"/>
        <v>2607.5329618680262</v>
      </c>
      <c r="V125" s="765">
        <f t="shared" si="18"/>
        <v>0</v>
      </c>
      <c r="W125" s="902">
        <v>0</v>
      </c>
      <c r="X125" s="903">
        <v>0</v>
      </c>
      <c r="Y125" s="130"/>
      <c r="Z125" s="769">
        <f t="shared" si="19"/>
        <v>0</v>
      </c>
      <c r="AA125" s="905">
        <v>0</v>
      </c>
      <c r="AB125" s="771">
        <f t="shared" si="15"/>
        <v>0</v>
      </c>
      <c r="AD125" s="735" t="str">
        <f t="shared" si="20"/>
        <v>Lake-Sumter State College</v>
      </c>
      <c r="AE125" s="908">
        <v>0</v>
      </c>
      <c r="AF125" s="908">
        <v>0</v>
      </c>
      <c r="AG125" s="774">
        <f t="shared" si="16"/>
        <v>0</v>
      </c>
    </row>
    <row r="126" spans="1:54" ht="25.15" customHeight="1">
      <c r="A126" s="735" t="str">
        <f t="shared" si="8"/>
        <v>State College of Florida, Manatee-Sarasota</v>
      </c>
      <c r="B126" s="880">
        <v>466</v>
      </c>
      <c r="C126" s="97"/>
      <c r="D126" s="756">
        <f t="shared" si="9"/>
        <v>466</v>
      </c>
      <c r="E126" s="880">
        <v>4849.9118139021566</v>
      </c>
      <c r="F126" s="883">
        <v>207.97185770205718</v>
      </c>
      <c r="G126" s="756">
        <f t="shared" si="10"/>
        <v>5057.8836716042142</v>
      </c>
      <c r="H126" s="887">
        <v>543.33486319505732</v>
      </c>
      <c r="I126" s="888">
        <v>19.050308914386584</v>
      </c>
      <c r="J126" s="756">
        <f t="shared" si="17"/>
        <v>562.38517210944394</v>
      </c>
      <c r="K126" s="893">
        <v>202.44392721117225</v>
      </c>
      <c r="L126" s="894">
        <v>12.556072788827763</v>
      </c>
      <c r="M126" s="760">
        <f t="shared" si="11"/>
        <v>215</v>
      </c>
      <c r="N126" s="893">
        <v>27.651452282157678</v>
      </c>
      <c r="O126" s="894">
        <v>0.34854771784232363</v>
      </c>
      <c r="P126" s="760">
        <f t="shared" si="12"/>
        <v>28</v>
      </c>
      <c r="Q126" s="893">
        <v>0</v>
      </c>
      <c r="R126" s="898">
        <v>0</v>
      </c>
      <c r="S126" s="756">
        <f t="shared" si="13"/>
        <v>0</v>
      </c>
      <c r="T126" s="85">
        <f t="shared" si="14"/>
        <v>6329.2688437136585</v>
      </c>
      <c r="V126" s="765">
        <f t="shared" si="18"/>
        <v>0</v>
      </c>
      <c r="W126" s="902">
        <v>0</v>
      </c>
      <c r="X126" s="903">
        <v>0</v>
      </c>
      <c r="Y126" s="130"/>
      <c r="Z126" s="769">
        <f t="shared" si="19"/>
        <v>0</v>
      </c>
      <c r="AA126" s="905">
        <v>0</v>
      </c>
      <c r="AB126" s="771">
        <f t="shared" si="15"/>
        <v>0</v>
      </c>
      <c r="AD126" s="735" t="str">
        <f t="shared" si="20"/>
        <v>State College of Florida, Manatee-Sarasota</v>
      </c>
      <c r="AE126" s="908">
        <v>0</v>
      </c>
      <c r="AF126" s="908">
        <v>0</v>
      </c>
      <c r="AG126" s="774">
        <f t="shared" si="16"/>
        <v>0</v>
      </c>
    </row>
    <row r="127" spans="1:54" ht="25.15" customHeight="1">
      <c r="A127" s="735" t="str">
        <f t="shared" si="8"/>
        <v>Miami Dade College</v>
      </c>
      <c r="B127" s="880">
        <v>1865</v>
      </c>
      <c r="C127" s="97"/>
      <c r="D127" s="756">
        <f t="shared" si="9"/>
        <v>1865</v>
      </c>
      <c r="E127" s="880">
        <v>31720.618788833315</v>
      </c>
      <c r="F127" s="883">
        <v>1468.6002584560713</v>
      </c>
      <c r="G127" s="756">
        <f t="shared" si="10"/>
        <v>33189.219047289385</v>
      </c>
      <c r="H127" s="887">
        <v>3530.9751332602209</v>
      </c>
      <c r="I127" s="888">
        <v>158.95432171185189</v>
      </c>
      <c r="J127" s="756">
        <f t="shared" si="17"/>
        <v>3689.9294549720726</v>
      </c>
      <c r="K127" s="893">
        <v>2886.5073773568561</v>
      </c>
      <c r="L127" s="894">
        <v>183.49262264314382</v>
      </c>
      <c r="M127" s="760">
        <f t="shared" si="11"/>
        <v>3070</v>
      </c>
      <c r="N127" s="893">
        <v>7</v>
      </c>
      <c r="O127" s="894">
        <v>0</v>
      </c>
      <c r="P127" s="760">
        <f t="shared" si="12"/>
        <v>7</v>
      </c>
      <c r="Q127" s="893">
        <v>969.36805976176061</v>
      </c>
      <c r="R127" s="898">
        <v>22.631940238239451</v>
      </c>
      <c r="S127" s="756">
        <f t="shared" si="13"/>
        <v>992</v>
      </c>
      <c r="T127" s="85">
        <f t="shared" si="14"/>
        <v>42813.148502261458</v>
      </c>
      <c r="V127" s="765">
        <f t="shared" si="18"/>
        <v>8.62755488266464</v>
      </c>
      <c r="W127" s="902">
        <v>122.37244511733536</v>
      </c>
      <c r="X127" s="903">
        <v>131</v>
      </c>
      <c r="Y127" s="130"/>
      <c r="Z127" s="769">
        <f t="shared" si="19"/>
        <v>75.833685146095149</v>
      </c>
      <c r="AA127" s="905">
        <v>1725.1663148539049</v>
      </c>
      <c r="AB127" s="771">
        <f t="shared" si="15"/>
        <v>1801</v>
      </c>
      <c r="AD127" s="735" t="str">
        <f t="shared" si="20"/>
        <v>Miami Dade College</v>
      </c>
      <c r="AE127" s="908">
        <v>1683</v>
      </c>
      <c r="AF127" s="908">
        <v>118</v>
      </c>
      <c r="AG127" s="774">
        <f t="shared" si="16"/>
        <v>1801</v>
      </c>
    </row>
    <row r="128" spans="1:54" ht="25.15" customHeight="1">
      <c r="A128" s="735" t="str">
        <f t="shared" si="8"/>
        <v>North Florida Community College</v>
      </c>
      <c r="B128" s="880">
        <v>12</v>
      </c>
      <c r="C128" s="97"/>
      <c r="D128" s="756">
        <f t="shared" si="9"/>
        <v>12</v>
      </c>
      <c r="E128" s="880">
        <v>359.45430563406819</v>
      </c>
      <c r="F128" s="883">
        <v>9.4938760128132653</v>
      </c>
      <c r="G128" s="756">
        <f t="shared" si="10"/>
        <v>368.94818164688144</v>
      </c>
      <c r="H128" s="887">
        <v>158.02937915742797</v>
      </c>
      <c r="I128" s="888">
        <v>8.2039911308203983</v>
      </c>
      <c r="J128" s="756">
        <f t="shared" si="17"/>
        <v>166.23337028824835</v>
      </c>
      <c r="K128" s="893">
        <v>13.116504854368932</v>
      </c>
      <c r="L128" s="894">
        <v>0.88349514563106801</v>
      </c>
      <c r="M128" s="760">
        <f t="shared" si="11"/>
        <v>14</v>
      </c>
      <c r="N128" s="893">
        <v>0</v>
      </c>
      <c r="O128" s="894">
        <v>0</v>
      </c>
      <c r="P128" s="760">
        <f t="shared" si="12"/>
        <v>0</v>
      </c>
      <c r="Q128" s="893">
        <v>97.092469018112482</v>
      </c>
      <c r="R128" s="898">
        <v>3.5033365109628218</v>
      </c>
      <c r="S128" s="756">
        <f t="shared" si="13"/>
        <v>100.59580552907531</v>
      </c>
      <c r="T128" s="85">
        <f t="shared" si="14"/>
        <v>661.77735746420512</v>
      </c>
      <c r="V128" s="765">
        <f t="shared" si="18"/>
        <v>0</v>
      </c>
      <c r="W128" s="902">
        <v>0</v>
      </c>
      <c r="X128" s="903">
        <v>0</v>
      </c>
      <c r="Y128" s="130"/>
      <c r="Z128" s="769">
        <f t="shared" si="19"/>
        <v>0</v>
      </c>
      <c r="AA128" s="905">
        <v>0</v>
      </c>
      <c r="AB128" s="771">
        <f t="shared" si="15"/>
        <v>0</v>
      </c>
      <c r="AD128" s="735" t="str">
        <f t="shared" si="20"/>
        <v>North Florida Community College</v>
      </c>
      <c r="AE128" s="908">
        <v>0</v>
      </c>
      <c r="AF128" s="908">
        <v>0</v>
      </c>
      <c r="AG128" s="774">
        <f t="shared" si="16"/>
        <v>0</v>
      </c>
    </row>
    <row r="129" spans="1:48" ht="25.15" customHeight="1">
      <c r="A129" s="735" t="str">
        <f t="shared" si="8"/>
        <v>Northwest Florida State College</v>
      </c>
      <c r="B129" s="880">
        <v>307</v>
      </c>
      <c r="C129" s="97"/>
      <c r="D129" s="756">
        <f t="shared" si="9"/>
        <v>307</v>
      </c>
      <c r="E129" s="880">
        <v>2204.4106850943681</v>
      </c>
      <c r="F129" s="883">
        <v>37.514117996730569</v>
      </c>
      <c r="G129" s="756">
        <f t="shared" si="10"/>
        <v>2241.9248030910985</v>
      </c>
      <c r="H129" s="887">
        <v>524.68822791614411</v>
      </c>
      <c r="I129" s="888">
        <v>9.4723167891058946</v>
      </c>
      <c r="J129" s="756">
        <f t="shared" si="17"/>
        <v>534.16054470525</v>
      </c>
      <c r="K129" s="893">
        <v>87.616080402010056</v>
      </c>
      <c r="L129" s="894">
        <v>3.3839195979899501</v>
      </c>
      <c r="M129" s="760">
        <f t="shared" si="11"/>
        <v>91</v>
      </c>
      <c r="N129" s="893">
        <v>0</v>
      </c>
      <c r="O129" s="894">
        <v>0</v>
      </c>
      <c r="P129" s="760">
        <f t="shared" si="12"/>
        <v>0</v>
      </c>
      <c r="Q129" s="893">
        <v>214.44313524590163</v>
      </c>
      <c r="R129" s="898">
        <v>2.5568647540983607</v>
      </c>
      <c r="S129" s="756">
        <f t="shared" si="13"/>
        <v>217</v>
      </c>
      <c r="T129" s="85">
        <f t="shared" si="14"/>
        <v>3391.0853477963483</v>
      </c>
      <c r="V129" s="765">
        <f t="shared" si="18"/>
        <v>0</v>
      </c>
      <c r="W129" s="902">
        <v>0</v>
      </c>
      <c r="X129" s="903">
        <v>0</v>
      </c>
      <c r="Y129" s="130"/>
      <c r="Z129" s="769">
        <f t="shared" si="19"/>
        <v>132.49212303075768</v>
      </c>
      <c r="AA129" s="905">
        <v>1.5078769692423104</v>
      </c>
      <c r="AB129" s="771">
        <f t="shared" si="15"/>
        <v>134</v>
      </c>
      <c r="AD129" s="735" t="str">
        <f t="shared" si="20"/>
        <v>Northwest Florida State College</v>
      </c>
      <c r="AE129" s="908">
        <v>100</v>
      </c>
      <c r="AF129" s="908">
        <v>34</v>
      </c>
      <c r="AG129" s="774">
        <f t="shared" si="16"/>
        <v>134</v>
      </c>
    </row>
    <row r="130" spans="1:48" ht="25.15" customHeight="1">
      <c r="A130" s="735" t="str">
        <f t="shared" si="8"/>
        <v>Palm Beach State College</v>
      </c>
      <c r="B130" s="880">
        <v>741</v>
      </c>
      <c r="C130" s="97"/>
      <c r="D130" s="756">
        <f t="shared" si="9"/>
        <v>741</v>
      </c>
      <c r="E130" s="880">
        <v>14968.360284689574</v>
      </c>
      <c r="F130" s="883">
        <v>575.58790626800214</v>
      </c>
      <c r="G130" s="756">
        <f t="shared" si="10"/>
        <v>15543.948190957575</v>
      </c>
      <c r="H130" s="887">
        <v>1539.665986170563</v>
      </c>
      <c r="I130" s="888">
        <v>34.254132367467889</v>
      </c>
      <c r="J130" s="756">
        <f t="shared" si="17"/>
        <v>1573.9201185380309</v>
      </c>
      <c r="K130" s="893">
        <v>679.23233973050219</v>
      </c>
      <c r="L130" s="894">
        <v>40.767660269497753</v>
      </c>
      <c r="M130" s="760">
        <f t="shared" si="11"/>
        <v>720</v>
      </c>
      <c r="N130" s="893">
        <v>25.666666666666668</v>
      </c>
      <c r="O130" s="894">
        <v>0.33333333333333331</v>
      </c>
      <c r="P130" s="760">
        <f t="shared" si="12"/>
        <v>26</v>
      </c>
      <c r="Q130" s="893">
        <v>883.1</v>
      </c>
      <c r="R130" s="898">
        <v>13.9</v>
      </c>
      <c r="S130" s="756">
        <f t="shared" si="13"/>
        <v>897</v>
      </c>
      <c r="T130" s="85">
        <f t="shared" si="14"/>
        <v>19501.868309495607</v>
      </c>
      <c r="V130" s="765">
        <f t="shared" si="18"/>
        <v>0</v>
      </c>
      <c r="W130" s="902">
        <v>0</v>
      </c>
      <c r="X130" s="903">
        <v>0</v>
      </c>
      <c r="Y130" s="130"/>
      <c r="Z130" s="769">
        <f t="shared" si="19"/>
        <v>0</v>
      </c>
      <c r="AA130" s="905">
        <v>0</v>
      </c>
      <c r="AB130" s="771">
        <f t="shared" si="15"/>
        <v>0</v>
      </c>
      <c r="AD130" s="735" t="str">
        <f t="shared" si="20"/>
        <v>Palm Beach State College</v>
      </c>
      <c r="AE130" s="908">
        <v>0</v>
      </c>
      <c r="AF130" s="908">
        <v>0</v>
      </c>
      <c r="AG130" s="774">
        <f t="shared" si="16"/>
        <v>0</v>
      </c>
    </row>
    <row r="131" spans="1:48" ht="25.15" customHeight="1">
      <c r="A131" s="735" t="str">
        <f t="shared" si="8"/>
        <v>Pasco-Hernando State College</v>
      </c>
      <c r="B131" s="880">
        <v>407</v>
      </c>
      <c r="C131" s="97"/>
      <c r="D131" s="756">
        <f t="shared" si="9"/>
        <v>407</v>
      </c>
      <c r="E131" s="880">
        <v>3557.9648163661213</v>
      </c>
      <c r="F131" s="883">
        <v>32.688153079670215</v>
      </c>
      <c r="G131" s="756">
        <f t="shared" si="10"/>
        <v>3590.6529694457918</v>
      </c>
      <c r="H131" s="887">
        <v>1982.3773477787765</v>
      </c>
      <c r="I131" s="888">
        <v>14.949141316175428</v>
      </c>
      <c r="J131" s="756">
        <f t="shared" si="17"/>
        <v>1997.326489094952</v>
      </c>
      <c r="K131" s="893">
        <v>343.26856998484084</v>
      </c>
      <c r="L131" s="894">
        <v>5.7314300151591704</v>
      </c>
      <c r="M131" s="760">
        <f t="shared" si="11"/>
        <v>349</v>
      </c>
      <c r="N131" s="893">
        <v>22</v>
      </c>
      <c r="O131" s="894">
        <v>0</v>
      </c>
      <c r="P131" s="760">
        <f t="shared" si="12"/>
        <v>22</v>
      </c>
      <c r="Q131" s="893">
        <v>322.88002399520093</v>
      </c>
      <c r="R131" s="898">
        <v>8.2147570485902826</v>
      </c>
      <c r="S131" s="756">
        <f t="shared" si="13"/>
        <v>331.09478104379122</v>
      </c>
      <c r="T131" s="85">
        <f t="shared" si="14"/>
        <v>6697.0742395845346</v>
      </c>
      <c r="V131" s="765">
        <f t="shared" si="18"/>
        <v>0</v>
      </c>
      <c r="W131" s="902">
        <v>0</v>
      </c>
      <c r="X131" s="903">
        <v>0</v>
      </c>
      <c r="Y131" s="130"/>
      <c r="Z131" s="769">
        <f t="shared" si="19"/>
        <v>0</v>
      </c>
      <c r="AA131" s="905">
        <v>0</v>
      </c>
      <c r="AB131" s="771">
        <f t="shared" si="15"/>
        <v>0</v>
      </c>
      <c r="AD131" s="735" t="str">
        <f t="shared" si="20"/>
        <v>Pasco-Hernando State College</v>
      </c>
      <c r="AE131" s="908">
        <v>0</v>
      </c>
      <c r="AF131" s="908">
        <v>0</v>
      </c>
      <c r="AG131" s="774">
        <f t="shared" si="16"/>
        <v>0</v>
      </c>
    </row>
    <row r="132" spans="1:48" ht="25.15" customHeight="1">
      <c r="A132" s="735" t="str">
        <f t="shared" si="8"/>
        <v>Pensacola State College</v>
      </c>
      <c r="B132" s="880">
        <v>322</v>
      </c>
      <c r="C132" s="97"/>
      <c r="D132" s="756">
        <f t="shared" si="9"/>
        <v>322</v>
      </c>
      <c r="E132" s="880">
        <v>3674.7936193720648</v>
      </c>
      <c r="F132" s="883">
        <v>67.998872111223648</v>
      </c>
      <c r="G132" s="756">
        <f t="shared" si="10"/>
        <v>3742.7924914832884</v>
      </c>
      <c r="H132" s="887">
        <v>1421.9021233569263</v>
      </c>
      <c r="I132" s="888">
        <v>16.151263902932254</v>
      </c>
      <c r="J132" s="756">
        <f t="shared" si="17"/>
        <v>1438.0533872598585</v>
      </c>
      <c r="K132" s="893">
        <v>254.58139534883722</v>
      </c>
      <c r="L132" s="894">
        <v>12.418604651162788</v>
      </c>
      <c r="M132" s="760">
        <f t="shared" si="11"/>
        <v>267</v>
      </c>
      <c r="N132" s="893">
        <v>0</v>
      </c>
      <c r="O132" s="894">
        <v>0</v>
      </c>
      <c r="P132" s="760">
        <f t="shared" si="12"/>
        <v>0</v>
      </c>
      <c r="Q132" s="893">
        <v>362.40357529794147</v>
      </c>
      <c r="R132" s="898">
        <v>6.5964247020585045</v>
      </c>
      <c r="S132" s="756">
        <f t="shared" si="13"/>
        <v>369</v>
      </c>
      <c r="T132" s="85">
        <f t="shared" si="14"/>
        <v>6138.8458787431464</v>
      </c>
      <c r="V132" s="765">
        <f t="shared" si="18"/>
        <v>0</v>
      </c>
      <c r="W132" s="902">
        <v>0</v>
      </c>
      <c r="X132" s="903">
        <v>0</v>
      </c>
      <c r="Y132" s="130"/>
      <c r="Z132" s="769">
        <f t="shared" si="19"/>
        <v>345.20357442055291</v>
      </c>
      <c r="AA132" s="905">
        <v>12.796425579447082</v>
      </c>
      <c r="AB132" s="771">
        <f t="shared" si="15"/>
        <v>358</v>
      </c>
      <c r="AD132" s="735" t="str">
        <f t="shared" si="20"/>
        <v>Pensacola State College</v>
      </c>
      <c r="AE132" s="908">
        <v>115</v>
      </c>
      <c r="AF132" s="908">
        <v>243</v>
      </c>
      <c r="AG132" s="774">
        <f t="shared" si="16"/>
        <v>358</v>
      </c>
    </row>
    <row r="133" spans="1:48" ht="25.15" customHeight="1">
      <c r="A133" s="735" t="str">
        <f t="shared" si="8"/>
        <v>Polk State College</v>
      </c>
      <c r="B133" s="880">
        <v>751</v>
      </c>
      <c r="C133" s="97"/>
      <c r="D133" s="756">
        <f t="shared" si="9"/>
        <v>751</v>
      </c>
      <c r="E133" s="880">
        <v>3176.8699104234529</v>
      </c>
      <c r="F133" s="883">
        <v>58.870114006514662</v>
      </c>
      <c r="G133" s="756">
        <f t="shared" si="10"/>
        <v>3235.7400244299674</v>
      </c>
      <c r="H133" s="887">
        <v>1453.1648548407725</v>
      </c>
      <c r="I133" s="888">
        <v>17.475892057807904</v>
      </c>
      <c r="J133" s="756">
        <f t="shared" si="17"/>
        <v>1470.6407468985803</v>
      </c>
      <c r="K133" s="893">
        <v>130.78020035356511</v>
      </c>
      <c r="L133" s="894">
        <v>10.219799646434884</v>
      </c>
      <c r="M133" s="760">
        <f t="shared" si="11"/>
        <v>141</v>
      </c>
      <c r="N133" s="893">
        <v>50.465968586387433</v>
      </c>
      <c r="O133" s="894">
        <v>0.53403141361256545</v>
      </c>
      <c r="P133" s="760">
        <f t="shared" si="12"/>
        <v>51</v>
      </c>
      <c r="Q133" s="893">
        <v>89</v>
      </c>
      <c r="R133" s="898">
        <v>0</v>
      </c>
      <c r="S133" s="756">
        <f t="shared" si="13"/>
        <v>89</v>
      </c>
      <c r="T133" s="85">
        <f t="shared" si="14"/>
        <v>5738.3807713285478</v>
      </c>
      <c r="V133" s="765">
        <f t="shared" si="18"/>
        <v>0</v>
      </c>
      <c r="W133" s="902">
        <v>0</v>
      </c>
      <c r="X133" s="903">
        <v>0</v>
      </c>
      <c r="Y133" s="130"/>
      <c r="Z133" s="769">
        <f t="shared" si="19"/>
        <v>0</v>
      </c>
      <c r="AA133" s="905">
        <v>0</v>
      </c>
      <c r="AB133" s="771">
        <f t="shared" si="15"/>
        <v>0</v>
      </c>
      <c r="AD133" s="735" t="str">
        <f t="shared" si="20"/>
        <v>Polk State College</v>
      </c>
      <c r="AE133" s="908">
        <v>0</v>
      </c>
      <c r="AF133" s="908">
        <v>0</v>
      </c>
      <c r="AG133" s="774">
        <f t="shared" si="16"/>
        <v>0</v>
      </c>
    </row>
    <row r="134" spans="1:48" ht="25.15" customHeight="1">
      <c r="A134" s="735" t="str">
        <f t="shared" si="8"/>
        <v>St. Johns River State College</v>
      </c>
      <c r="B134" s="880">
        <v>191</v>
      </c>
      <c r="C134" s="97"/>
      <c r="D134" s="756">
        <f t="shared" si="9"/>
        <v>191</v>
      </c>
      <c r="E134" s="880">
        <v>2379.0950759559983</v>
      </c>
      <c r="F134" s="883">
        <v>39.749214248297534</v>
      </c>
      <c r="G134" s="756">
        <f t="shared" si="10"/>
        <v>2418.8442902042957</v>
      </c>
      <c r="H134" s="887">
        <v>803.97399133044348</v>
      </c>
      <c r="I134" s="888">
        <v>8.4461487162387456</v>
      </c>
      <c r="J134" s="756">
        <f t="shared" si="17"/>
        <v>812.42014004668226</v>
      </c>
      <c r="K134" s="893">
        <v>81.318135764944273</v>
      </c>
      <c r="L134" s="894">
        <v>1.6818642350557245</v>
      </c>
      <c r="M134" s="760">
        <f t="shared" si="11"/>
        <v>83</v>
      </c>
      <c r="N134" s="893">
        <v>26.830188679245282</v>
      </c>
      <c r="O134" s="894">
        <v>0.169811320754717</v>
      </c>
      <c r="P134" s="760">
        <f t="shared" si="12"/>
        <v>27</v>
      </c>
      <c r="Q134" s="893">
        <v>99.6</v>
      </c>
      <c r="R134" s="898">
        <v>1.4</v>
      </c>
      <c r="S134" s="756">
        <f t="shared" si="13"/>
        <v>101</v>
      </c>
      <c r="T134" s="85">
        <f t="shared" si="14"/>
        <v>3633.264430250978</v>
      </c>
      <c r="V134" s="765">
        <f t="shared" si="18"/>
        <v>0</v>
      </c>
      <c r="W134" s="902">
        <v>0</v>
      </c>
      <c r="X134" s="903">
        <v>0</v>
      </c>
      <c r="Y134" s="130"/>
      <c r="Z134" s="769">
        <f t="shared" si="19"/>
        <v>59</v>
      </c>
      <c r="AA134" s="905">
        <v>0</v>
      </c>
      <c r="AB134" s="771">
        <f t="shared" si="15"/>
        <v>59</v>
      </c>
      <c r="AD134" s="735" t="str">
        <f t="shared" si="20"/>
        <v>St. Johns River State College</v>
      </c>
      <c r="AE134" s="908">
        <v>35</v>
      </c>
      <c r="AF134" s="908">
        <v>24</v>
      </c>
      <c r="AG134" s="774">
        <f t="shared" si="16"/>
        <v>59</v>
      </c>
    </row>
    <row r="135" spans="1:48" ht="25.15" customHeight="1">
      <c r="A135" s="735" t="str">
        <f t="shared" si="8"/>
        <v>St. Petersburg College</v>
      </c>
      <c r="B135" s="880">
        <v>2832</v>
      </c>
      <c r="C135" s="97"/>
      <c r="D135" s="756">
        <f t="shared" si="9"/>
        <v>2832</v>
      </c>
      <c r="E135" s="880">
        <v>8768.7121733149943</v>
      </c>
      <c r="F135" s="883">
        <v>301.6937184777625</v>
      </c>
      <c r="G135" s="756">
        <f t="shared" si="10"/>
        <v>9070.4058917927559</v>
      </c>
      <c r="H135" s="887">
        <v>4662.4504490025511</v>
      </c>
      <c r="I135" s="888">
        <v>117.74112541937039</v>
      </c>
      <c r="J135" s="756">
        <f t="shared" si="17"/>
        <v>4780.1915744219214</v>
      </c>
      <c r="K135" s="893">
        <v>656.70937742185481</v>
      </c>
      <c r="L135" s="894">
        <v>37.290622578145189</v>
      </c>
      <c r="M135" s="760">
        <f t="shared" si="11"/>
        <v>694</v>
      </c>
      <c r="N135" s="893">
        <v>0</v>
      </c>
      <c r="O135" s="894">
        <v>0</v>
      </c>
      <c r="P135" s="760">
        <f t="shared" si="12"/>
        <v>0</v>
      </c>
      <c r="Q135" s="893">
        <v>124.99689681923972</v>
      </c>
      <c r="R135" s="898">
        <v>4.003103180760279</v>
      </c>
      <c r="S135" s="756">
        <f t="shared" si="13"/>
        <v>129</v>
      </c>
      <c r="T135" s="85">
        <f t="shared" si="14"/>
        <v>17505.597466214676</v>
      </c>
      <c r="V135" s="765">
        <f t="shared" si="18"/>
        <v>0</v>
      </c>
      <c r="W135" s="902">
        <v>0</v>
      </c>
      <c r="X135" s="903">
        <v>0</v>
      </c>
      <c r="Y135" s="130"/>
      <c r="Z135" s="769">
        <f t="shared" si="19"/>
        <v>0</v>
      </c>
      <c r="AA135" s="905">
        <v>0</v>
      </c>
      <c r="AB135" s="771">
        <f t="shared" si="15"/>
        <v>0</v>
      </c>
      <c r="AD135" s="735" t="str">
        <f t="shared" si="20"/>
        <v>St. Petersburg College</v>
      </c>
      <c r="AE135" s="908">
        <v>0</v>
      </c>
      <c r="AF135" s="908">
        <v>0</v>
      </c>
      <c r="AG135" s="774">
        <f t="shared" si="16"/>
        <v>0</v>
      </c>
    </row>
    <row r="136" spans="1:48" ht="25.15" customHeight="1">
      <c r="A136" s="735" t="str">
        <f t="shared" si="8"/>
        <v>Santa Fe College</v>
      </c>
      <c r="B136" s="880">
        <v>445</v>
      </c>
      <c r="C136" s="97"/>
      <c r="D136" s="756">
        <f t="shared" si="9"/>
        <v>445</v>
      </c>
      <c r="E136" s="880">
        <v>6203.2045656604341</v>
      </c>
      <c r="F136" s="883">
        <v>439.70112568560137</v>
      </c>
      <c r="G136" s="756">
        <f t="shared" si="10"/>
        <v>6642.9056913460354</v>
      </c>
      <c r="H136" s="887">
        <v>2174.8678460820502</v>
      </c>
      <c r="I136" s="888">
        <v>104.54766450299097</v>
      </c>
      <c r="J136" s="756">
        <f t="shared" si="17"/>
        <v>2279.4155105850409</v>
      </c>
      <c r="K136" s="893">
        <v>350.3597430406852</v>
      </c>
      <c r="L136" s="894">
        <v>83.640256959314769</v>
      </c>
      <c r="M136" s="760">
        <f t="shared" si="11"/>
        <v>434</v>
      </c>
      <c r="N136" s="893">
        <v>3.8016528925619832</v>
      </c>
      <c r="O136" s="894">
        <v>0.19834710743801653</v>
      </c>
      <c r="P136" s="760">
        <f t="shared" si="12"/>
        <v>4</v>
      </c>
      <c r="Q136" s="893">
        <v>220.98769771528998</v>
      </c>
      <c r="R136" s="898">
        <v>6.5114235500878737</v>
      </c>
      <c r="S136" s="756">
        <f t="shared" si="13"/>
        <v>227.49912126537785</v>
      </c>
      <c r="T136" s="85">
        <f t="shared" si="14"/>
        <v>10032.820323196454</v>
      </c>
      <c r="V136" s="765">
        <f t="shared" si="18"/>
        <v>0</v>
      </c>
      <c r="W136" s="902">
        <v>0</v>
      </c>
      <c r="X136" s="903">
        <v>0</v>
      </c>
      <c r="Y136" s="130"/>
      <c r="Z136" s="769">
        <f t="shared" si="19"/>
        <v>43.515780730897006</v>
      </c>
      <c r="AA136" s="905">
        <v>77.484219269102994</v>
      </c>
      <c r="AB136" s="771">
        <f t="shared" si="15"/>
        <v>121</v>
      </c>
      <c r="AD136" s="735" t="str">
        <f t="shared" si="20"/>
        <v>Santa Fe College</v>
      </c>
      <c r="AE136" s="908">
        <v>108</v>
      </c>
      <c r="AF136" s="908">
        <v>13</v>
      </c>
      <c r="AG136" s="774">
        <f t="shared" si="16"/>
        <v>121</v>
      </c>
    </row>
    <row r="137" spans="1:48" ht="25.15" customHeight="1">
      <c r="A137" s="735" t="str">
        <f t="shared" si="8"/>
        <v>Seminole State College of Florida</v>
      </c>
      <c r="B137" s="880">
        <v>937</v>
      </c>
      <c r="C137" s="97"/>
      <c r="D137" s="756">
        <f t="shared" si="9"/>
        <v>937</v>
      </c>
      <c r="E137" s="880">
        <v>6657.0955263996448</v>
      </c>
      <c r="F137" s="883">
        <v>181.29494728383605</v>
      </c>
      <c r="G137" s="756">
        <f t="shared" si="10"/>
        <v>6838.3904736834811</v>
      </c>
      <c r="H137" s="887">
        <v>2587.7843510751309</v>
      </c>
      <c r="I137" s="888">
        <v>53.841532656873873</v>
      </c>
      <c r="J137" s="756">
        <f t="shared" si="17"/>
        <v>2641.6258837320047</v>
      </c>
      <c r="K137" s="893">
        <v>311.09008528784648</v>
      </c>
      <c r="L137" s="894">
        <v>18.909914712153519</v>
      </c>
      <c r="M137" s="760">
        <f t="shared" si="11"/>
        <v>330</v>
      </c>
      <c r="N137" s="893">
        <v>60</v>
      </c>
      <c r="O137" s="894">
        <v>0</v>
      </c>
      <c r="P137" s="760">
        <f t="shared" si="12"/>
        <v>60</v>
      </c>
      <c r="Q137" s="893">
        <v>217.60195268494181</v>
      </c>
      <c r="R137" s="898">
        <v>1.3980473150582051</v>
      </c>
      <c r="S137" s="756">
        <f t="shared" si="13"/>
        <v>219</v>
      </c>
      <c r="T137" s="85">
        <f t="shared" si="14"/>
        <v>11026.016357415487</v>
      </c>
      <c r="V137" s="765">
        <f t="shared" si="18"/>
        <v>0</v>
      </c>
      <c r="W137" s="902">
        <v>0</v>
      </c>
      <c r="X137" s="903">
        <v>0</v>
      </c>
      <c r="Y137" s="130"/>
      <c r="Z137" s="769">
        <f t="shared" si="19"/>
        <v>291.91443193449334</v>
      </c>
      <c r="AA137" s="905">
        <v>250.08556806550666</v>
      </c>
      <c r="AB137" s="771">
        <f t="shared" si="15"/>
        <v>542</v>
      </c>
      <c r="AD137" s="735" t="str">
        <f t="shared" si="20"/>
        <v>Seminole State College of Florida</v>
      </c>
      <c r="AE137" s="908">
        <v>375</v>
      </c>
      <c r="AF137" s="908">
        <v>167</v>
      </c>
      <c r="AG137" s="774">
        <f t="shared" si="16"/>
        <v>542</v>
      </c>
    </row>
    <row r="138" spans="1:48" ht="25.15" customHeight="1">
      <c r="A138" s="735" t="str">
        <f t="shared" si="8"/>
        <v>South Florida State College</v>
      </c>
      <c r="B138" s="880">
        <v>105</v>
      </c>
      <c r="C138" s="97"/>
      <c r="D138" s="756">
        <f t="shared" si="9"/>
        <v>105</v>
      </c>
      <c r="E138" s="880">
        <v>1235.0049578582054</v>
      </c>
      <c r="F138" s="883">
        <v>14.59033925915433</v>
      </c>
      <c r="G138" s="756">
        <f t="shared" si="10"/>
        <v>1249.5952971173597</v>
      </c>
      <c r="H138" s="887">
        <v>3</v>
      </c>
      <c r="I138" s="888">
        <v>0</v>
      </c>
      <c r="J138" s="756">
        <f t="shared" si="17"/>
        <v>3</v>
      </c>
      <c r="K138" s="893">
        <v>34.540983606557376</v>
      </c>
      <c r="L138" s="894">
        <v>0.45901639344262296</v>
      </c>
      <c r="M138" s="760">
        <f t="shared" si="11"/>
        <v>35</v>
      </c>
      <c r="N138" s="893">
        <v>0</v>
      </c>
      <c r="O138" s="894">
        <v>0</v>
      </c>
      <c r="P138" s="760">
        <f t="shared" si="12"/>
        <v>0</v>
      </c>
      <c r="Q138" s="893">
        <v>256.60620449509338</v>
      </c>
      <c r="R138" s="898">
        <v>3.3529597974042424</v>
      </c>
      <c r="S138" s="756">
        <f t="shared" si="13"/>
        <v>259.95916429249763</v>
      </c>
      <c r="T138" s="85">
        <f t="shared" si="14"/>
        <v>1652.5544614098574</v>
      </c>
      <c r="V138" s="765">
        <f t="shared" si="18"/>
        <v>0</v>
      </c>
      <c r="W138" s="902">
        <v>0</v>
      </c>
      <c r="X138" s="903">
        <v>0</v>
      </c>
      <c r="Y138" s="130"/>
      <c r="Z138" s="769">
        <f t="shared" si="19"/>
        <v>196.0035874439462</v>
      </c>
      <c r="AA138" s="905">
        <v>151.9964125560538</v>
      </c>
      <c r="AB138" s="771">
        <f t="shared" si="15"/>
        <v>348</v>
      </c>
      <c r="AD138" s="735" t="str">
        <f t="shared" si="20"/>
        <v>South Florida State College</v>
      </c>
      <c r="AE138" s="908">
        <v>322</v>
      </c>
      <c r="AF138" s="908">
        <v>26</v>
      </c>
      <c r="AG138" s="774">
        <f t="shared" si="16"/>
        <v>348</v>
      </c>
    </row>
    <row r="139" spans="1:48" ht="25.15" customHeight="1">
      <c r="A139" s="735" t="str">
        <f t="shared" si="8"/>
        <v>Tallahassee Community College</v>
      </c>
      <c r="B139" s="880">
        <v>17</v>
      </c>
      <c r="C139" s="97"/>
      <c r="D139" s="756">
        <f t="shared" si="9"/>
        <v>17</v>
      </c>
      <c r="E139" s="880">
        <v>6885.3524497444632</v>
      </c>
      <c r="F139" s="883">
        <v>314.87149574105621</v>
      </c>
      <c r="G139" s="756">
        <f t="shared" si="10"/>
        <v>7200.2239454855198</v>
      </c>
      <c r="H139" s="887">
        <v>1006.5994002998501</v>
      </c>
      <c r="I139" s="888">
        <v>24.6119940029985</v>
      </c>
      <c r="J139" s="756">
        <f t="shared" si="17"/>
        <v>1031.2113943028487</v>
      </c>
      <c r="K139" s="893">
        <v>335.10548523206751</v>
      </c>
      <c r="L139" s="894">
        <v>44.894514767932485</v>
      </c>
      <c r="M139" s="760">
        <f t="shared" si="11"/>
        <v>380</v>
      </c>
      <c r="N139" s="893">
        <v>0</v>
      </c>
      <c r="O139" s="894">
        <v>0</v>
      </c>
      <c r="P139" s="760">
        <f t="shared" si="12"/>
        <v>0</v>
      </c>
      <c r="Q139" s="893">
        <v>270.5</v>
      </c>
      <c r="R139" s="898">
        <v>2.5</v>
      </c>
      <c r="S139" s="756">
        <f t="shared" si="13"/>
        <v>273</v>
      </c>
      <c r="T139" s="85">
        <f t="shared" si="14"/>
        <v>8901.4353397883679</v>
      </c>
      <c r="V139" s="765">
        <f t="shared" si="18"/>
        <v>0</v>
      </c>
      <c r="W139" s="902">
        <v>0</v>
      </c>
      <c r="X139" s="903">
        <v>0</v>
      </c>
      <c r="Y139" s="130"/>
      <c r="Z139" s="769">
        <f t="shared" si="19"/>
        <v>12.706043956043949</v>
      </c>
      <c r="AA139" s="905">
        <v>61.293956043956051</v>
      </c>
      <c r="AB139" s="771">
        <f t="shared" si="15"/>
        <v>74</v>
      </c>
      <c r="AD139" s="735" t="str">
        <f t="shared" si="20"/>
        <v>Tallahassee Community College</v>
      </c>
      <c r="AE139" s="908">
        <v>59</v>
      </c>
      <c r="AF139" s="908">
        <v>15</v>
      </c>
      <c r="AG139" s="774">
        <f t="shared" si="16"/>
        <v>74</v>
      </c>
    </row>
    <row r="140" spans="1:48" ht="25.15" customHeight="1" thickBot="1">
      <c r="A140" s="736" t="str">
        <f t="shared" si="8"/>
        <v>Valencia College</v>
      </c>
      <c r="B140" s="881">
        <v>182</v>
      </c>
      <c r="C140" s="92"/>
      <c r="D140" s="757">
        <f t="shared" si="9"/>
        <v>182</v>
      </c>
      <c r="E140" s="881">
        <v>18920.647992739996</v>
      </c>
      <c r="F140" s="884">
        <v>1230.6120763048825</v>
      </c>
      <c r="G140" s="757">
        <f t="shared" si="10"/>
        <v>20151.260069044878</v>
      </c>
      <c r="H140" s="889">
        <v>7274.2798146400555</v>
      </c>
      <c r="I140" s="890">
        <v>369.31666126737753</v>
      </c>
      <c r="J140" s="759">
        <f t="shared" si="17"/>
        <v>7643.5964759074332</v>
      </c>
      <c r="K140" s="895">
        <v>884.67894532764637</v>
      </c>
      <c r="L140" s="896">
        <v>111.32105467235363</v>
      </c>
      <c r="M140" s="761">
        <f t="shared" si="11"/>
        <v>996</v>
      </c>
      <c r="N140" s="895">
        <v>100.60114285714286</v>
      </c>
      <c r="O140" s="896">
        <v>1.3988571428571428</v>
      </c>
      <c r="P140" s="761">
        <f t="shared" si="12"/>
        <v>102</v>
      </c>
      <c r="Q140" s="895">
        <v>238.11282467532467</v>
      </c>
      <c r="R140" s="899">
        <v>7.8871753246753249</v>
      </c>
      <c r="S140" s="757">
        <f t="shared" si="13"/>
        <v>246</v>
      </c>
      <c r="T140" s="86">
        <f t="shared" si="14"/>
        <v>29320.856544952312</v>
      </c>
      <c r="V140" s="766">
        <f t="shared" si="18"/>
        <v>0</v>
      </c>
      <c r="W140" s="900">
        <v>0</v>
      </c>
      <c r="X140" s="901">
        <v>0</v>
      </c>
      <c r="Y140" s="130"/>
      <c r="Z140" s="770">
        <f t="shared" si="19"/>
        <v>0</v>
      </c>
      <c r="AA140" s="906">
        <v>0</v>
      </c>
      <c r="AB140" s="771">
        <f t="shared" si="15"/>
        <v>0</v>
      </c>
      <c r="AD140" s="736" t="str">
        <f t="shared" si="20"/>
        <v>Valencia College</v>
      </c>
      <c r="AE140" s="909">
        <v>0</v>
      </c>
      <c r="AF140" s="909">
        <v>0</v>
      </c>
      <c r="AG140" s="757">
        <f t="shared" si="16"/>
        <v>0</v>
      </c>
    </row>
    <row r="141" spans="1:48" ht="25.15" customHeight="1" thickBot="1">
      <c r="A141" s="737" t="s">
        <v>2</v>
      </c>
      <c r="B141" s="738">
        <f t="shared" ref="B141" si="21">SUM(B113:B140)</f>
        <v>17058</v>
      </c>
      <c r="C141" s="114"/>
      <c r="D141" s="758">
        <f t="shared" ref="D141:T141" si="22">SUM(D113:D140)</f>
        <v>17058</v>
      </c>
      <c r="E141" s="738">
        <f t="shared" si="22"/>
        <v>183860.86013169232</v>
      </c>
      <c r="F141" s="739">
        <f t="shared" si="22"/>
        <v>7701.435318802829</v>
      </c>
      <c r="G141" s="758">
        <f t="shared" si="22"/>
        <v>191562.29545049515</v>
      </c>
      <c r="H141" s="779">
        <f t="shared" si="22"/>
        <v>52849.400060180284</v>
      </c>
      <c r="I141" s="739">
        <f t="shared" si="22"/>
        <v>1692.7864692593453</v>
      </c>
      <c r="J141" s="758">
        <f t="shared" si="22"/>
        <v>54542.186529439627</v>
      </c>
      <c r="K141" s="779">
        <f t="shared" si="22"/>
        <v>11587.657460202048</v>
      </c>
      <c r="L141" s="781">
        <f t="shared" si="22"/>
        <v>935.34253979795187</v>
      </c>
      <c r="M141" s="762">
        <f t="shared" si="22"/>
        <v>12523</v>
      </c>
      <c r="N141" s="779">
        <f t="shared" si="22"/>
        <v>468.34450736455966</v>
      </c>
      <c r="O141" s="781">
        <f t="shared" si="22"/>
        <v>6.6554926354403561</v>
      </c>
      <c r="P141" s="762">
        <f t="shared" si="22"/>
        <v>475</v>
      </c>
      <c r="Q141" s="778">
        <f t="shared" si="22"/>
        <v>8310.9012131173968</v>
      </c>
      <c r="R141" s="780">
        <f t="shared" si="22"/>
        <v>241.1802433632638</v>
      </c>
      <c r="S141" s="763">
        <f t="shared" si="22"/>
        <v>8552.0814564806606</v>
      </c>
      <c r="T141" s="115">
        <f t="shared" si="22"/>
        <v>284712.56343641545</v>
      </c>
      <c r="U141" s="116"/>
      <c r="V141" s="767">
        <f t="shared" ref="V141:AB141" si="23">SUM(V113:V140)</f>
        <v>11.02755488266464</v>
      </c>
      <c r="W141" s="779">
        <f t="shared" si="23"/>
        <v>126.97244511733535</v>
      </c>
      <c r="X141" s="777">
        <f t="shared" si="23"/>
        <v>138</v>
      </c>
      <c r="Y141" s="117"/>
      <c r="Z141" s="767">
        <f t="shared" si="23"/>
        <v>2156.1873484243793</v>
      </c>
      <c r="AA141" s="778">
        <f t="shared" si="23"/>
        <v>3892.8126515756212</v>
      </c>
      <c r="AB141" s="772">
        <f t="shared" si="23"/>
        <v>6049</v>
      </c>
      <c r="AC141" s="116"/>
      <c r="AD141" s="737" t="s">
        <v>2</v>
      </c>
      <c r="AE141" s="777">
        <f>SUM(AE113:AE140)</f>
        <v>5054</v>
      </c>
      <c r="AF141" s="777">
        <f>SUM(AF113:AF140)</f>
        <v>995</v>
      </c>
      <c r="AG141" s="758">
        <f>SUM(AG113:AG140)</f>
        <v>6049</v>
      </c>
      <c r="AH141" s="116"/>
      <c r="AI141" s="116"/>
      <c r="AJ141" s="116"/>
      <c r="AK141" s="116"/>
      <c r="AL141" s="116"/>
      <c r="AM141" s="116"/>
      <c r="AN141" s="116"/>
      <c r="AO141" s="116"/>
      <c r="AP141" s="116"/>
      <c r="AQ141" s="116"/>
      <c r="AR141" s="116"/>
    </row>
    <row r="142" spans="1:48" ht="13.9" customHeight="1">
      <c r="A142" s="726"/>
      <c r="B142" s="727"/>
      <c r="C142" s="727"/>
      <c r="D142" s="727"/>
      <c r="E142" s="727"/>
      <c r="F142" s="727"/>
      <c r="G142" s="727"/>
      <c r="H142" s="727"/>
      <c r="I142" s="727"/>
      <c r="J142" s="727"/>
      <c r="K142" s="727"/>
      <c r="L142" s="727"/>
      <c r="M142" s="727"/>
      <c r="N142" s="727"/>
      <c r="O142" s="727"/>
      <c r="P142" s="727"/>
      <c r="Q142" s="727"/>
      <c r="R142" s="727"/>
      <c r="S142" s="727"/>
      <c r="T142" s="727"/>
      <c r="U142" s="732"/>
      <c r="V142" s="729"/>
      <c r="W142" s="729"/>
      <c r="X142" s="729"/>
      <c r="Y142" s="729"/>
      <c r="Z142" s="729"/>
      <c r="AA142" s="729"/>
      <c r="AB142" s="729"/>
      <c r="AC142" s="732"/>
      <c r="AD142" s="726"/>
      <c r="AE142" s="118"/>
      <c r="AF142" s="118"/>
      <c r="AG142" s="118"/>
      <c r="AH142" s="728"/>
      <c r="AI142" s="728"/>
      <c r="AJ142" s="728"/>
      <c r="AK142" s="728"/>
      <c r="AL142" s="728"/>
      <c r="AM142" s="728"/>
      <c r="AN142" s="728"/>
      <c r="AO142" s="728"/>
      <c r="AP142" s="728"/>
      <c r="AQ142" s="728"/>
      <c r="AR142" s="728"/>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49" t="s">
        <v>631</v>
      </c>
      <c r="B145" s="1249"/>
      <c r="C145" s="1249"/>
      <c r="D145" s="1249"/>
      <c r="E145" s="132"/>
    </row>
    <row r="146" spans="1:5">
      <c r="A146" s="1248" t="s">
        <v>630</v>
      </c>
      <c r="B146" s="1248"/>
      <c r="C146" s="1248"/>
      <c r="D146" s="1248"/>
    </row>
    <row r="147" spans="1:5">
      <c r="A147" s="1229" t="s">
        <v>644</v>
      </c>
      <c r="B147" s="1229"/>
      <c r="C147" s="1229"/>
      <c r="D147" s="1229"/>
      <c r="E147" s="1229"/>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C4" sqref="C4"/>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68" t="s">
        <v>259</v>
      </c>
      <c r="B1" s="1268"/>
      <c r="C1" s="1268"/>
      <c r="D1" s="1268"/>
      <c r="E1" s="1268"/>
      <c r="F1" s="1268"/>
      <c r="G1" s="1268"/>
      <c r="H1" s="158"/>
      <c r="I1" s="158"/>
    </row>
    <row r="2" spans="1:53" ht="19.899999999999999" customHeight="1">
      <c r="A2" s="1268" t="s">
        <v>715</v>
      </c>
      <c r="B2" s="1268"/>
      <c r="C2" s="1268"/>
      <c r="D2" s="1268"/>
      <c r="E2" s="1268"/>
      <c r="F2" s="1268"/>
      <c r="G2" s="1268"/>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68"/>
      <c r="B3" s="1268"/>
      <c r="C3" s="1268"/>
      <c r="D3" s="1268"/>
      <c r="E3" s="1268"/>
      <c r="F3" s="1268"/>
      <c r="G3" s="1268"/>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69" t="s">
        <v>753</v>
      </c>
      <c r="B4" s="1269"/>
      <c r="C4" s="1269"/>
      <c r="D4" s="1269"/>
      <c r="E4" s="1269"/>
      <c r="F4" s="1269"/>
      <c r="G4" s="1269"/>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70"/>
      <c r="B5" s="1270"/>
      <c r="C5" s="1270"/>
      <c r="D5" s="1271"/>
      <c r="E5" s="1271"/>
      <c r="F5" s="1271"/>
      <c r="G5" s="1272"/>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70"/>
      <c r="B6" s="1270"/>
      <c r="C6" s="1270"/>
      <c r="D6" s="1270"/>
      <c r="E6" s="1270"/>
      <c r="F6" s="1270"/>
      <c r="G6" s="1273"/>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74" t="s">
        <v>587</v>
      </c>
      <c r="B7" s="1270"/>
      <c r="C7" s="1275" t="s">
        <v>3</v>
      </c>
      <c r="D7" s="1276" t="s">
        <v>681</v>
      </c>
      <c r="E7" s="1276"/>
      <c r="F7" s="1276"/>
      <c r="G7" s="1273"/>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1" t="s">
        <v>4</v>
      </c>
      <c r="B10" s="161"/>
      <c r="C10" s="1277" t="s">
        <v>784</v>
      </c>
      <c r="D10" s="1277"/>
      <c r="E10" s="1277"/>
      <c r="F10" s="1277"/>
      <c r="G10" s="1277"/>
      <c r="H10" s="163"/>
      <c r="I10" s="1068"/>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8"/>
      <c r="D11" s="818"/>
      <c r="E11" s="818"/>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077" t="s">
        <v>581</v>
      </c>
      <c r="D12" s="1077"/>
      <c r="E12" s="1077"/>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079" t="s">
        <v>588</v>
      </c>
      <c r="D15" s="1079"/>
      <c r="E15" s="1079"/>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79"/>
      <c r="B16" s="1079"/>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87">
        <f>IF(+'EXHIBIT A'!E44&gt;=0.0499,+'EXHIBIT A'!E44,"PERCENTAGE DOES NOT MEET STATUTORY GUIDELINES")</f>
        <v>9.0833472908465204E-2</v>
      </c>
      <c r="D17" s="1087"/>
      <c r="E17" s="1087"/>
      <c r="F17" s="1087"/>
      <c r="G17" s="1087"/>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78"/>
      <c r="B18" s="1278"/>
      <c r="C18" s="1279" t="s">
        <v>756</v>
      </c>
      <c r="D18" s="1279"/>
      <c r="E18" s="1279"/>
      <c r="F18" s="1279"/>
      <c r="G18" s="1279"/>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79"/>
      <c r="B19" s="1079"/>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078" t="s">
        <v>613</v>
      </c>
      <c r="D21" s="1078"/>
      <c r="E21" s="1078"/>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5"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731</v>
      </c>
      <c r="E40" s="180" t="str">
        <f>D40</f>
        <v>2018-19</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27480</v>
      </c>
      <c r="E44" s="191">
        <f>+'EXHIBIT C'!F10</f>
        <v>26165</v>
      </c>
      <c r="F44" s="192">
        <f t="shared" ref="F44:F50" si="0">IF(D44=0,"0",(E44/D44-1))</f>
        <v>-4.7852983988355136E-2</v>
      </c>
      <c r="G44" s="193"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171213.39487933044</v>
      </c>
      <c r="E45" s="196">
        <f>+'EXHIBIT C'!F11</f>
        <v>147317</v>
      </c>
      <c r="F45" s="197">
        <f t="shared" si="0"/>
        <v>-0.13957082561310341</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62963.727449707985</v>
      </c>
      <c r="E46" s="201">
        <f>+'EXHIBIT C'!F12</f>
        <v>57062</v>
      </c>
      <c r="F46" s="197">
        <f t="shared" si="0"/>
        <v>-9.3732180236977936E-2</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18226.403253922137</v>
      </c>
      <c r="E47" s="201">
        <f>+'EXHIBIT C'!F13</f>
        <v>17641</v>
      </c>
      <c r="F47" s="197">
        <f t="shared" si="0"/>
        <v>-3.2118418854590214E-2</v>
      </c>
      <c r="G47" s="198"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4991.5211267605628</v>
      </c>
      <c r="E48" s="201">
        <f>+'EXHIBIT C'!F14</f>
        <v>5948</v>
      </c>
      <c r="F48" s="197">
        <f t="shared" si="0"/>
        <v>0.19162072020722487</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55.384615384615387</v>
      </c>
      <c r="E49" s="204">
        <f>+'EXHIBIT C'!F15</f>
        <v>34</v>
      </c>
      <c r="F49" s="205">
        <f t="shared" si="0"/>
        <v>-0.38611111111111118</v>
      </c>
      <c r="G49" s="206" t="str">
        <f t="shared" si="1"/>
        <v>YES</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284930.43132510578</v>
      </c>
      <c r="E50" s="209">
        <f>+'EXHIBIT C'!F17</f>
        <v>254167</v>
      </c>
      <c r="F50" s="210">
        <f t="shared" si="0"/>
        <v>-0.10796821940723023</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5.75" customHeight="1" thickBot="1">
      <c r="C51" s="1280" t="s">
        <v>590</v>
      </c>
      <c r="D51" s="1281"/>
      <c r="E51" s="1281"/>
      <c r="F51" s="1281"/>
      <c r="G51" s="1282"/>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84" t="s">
        <v>461</v>
      </c>
      <c r="D52" s="1085"/>
      <c r="E52" s="1085"/>
      <c r="F52" s="1085"/>
      <c r="G52" s="1086"/>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283" t="s">
        <v>787</v>
      </c>
      <c r="D53" s="1284"/>
      <c r="E53" s="1284"/>
      <c r="F53" s="1284"/>
      <c r="G53" s="1285"/>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89"/>
      <c r="D54" s="1090"/>
      <c r="E54" s="1090"/>
      <c r="F54" s="1090"/>
      <c r="G54" s="1091"/>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89"/>
      <c r="D55" s="1090"/>
      <c r="E55" s="1090"/>
      <c r="F55" s="1090"/>
      <c r="G55" s="1091"/>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89"/>
      <c r="D56" s="1090"/>
      <c r="E56" s="1090"/>
      <c r="F56" s="1090"/>
      <c r="G56" s="1091"/>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89"/>
      <c r="D57" s="1090"/>
      <c r="E57" s="1090"/>
      <c r="F57" s="1090"/>
      <c r="G57" s="1091"/>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89"/>
      <c r="D58" s="1090"/>
      <c r="E58" s="1090"/>
      <c r="F58" s="1090"/>
      <c r="G58" s="1091"/>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89"/>
      <c r="D59" s="1090"/>
      <c r="E59" s="1090"/>
      <c r="F59" s="1090"/>
      <c r="G59" s="1091"/>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89"/>
      <c r="D60" s="1090"/>
      <c r="E60" s="1090"/>
      <c r="F60" s="1090"/>
      <c r="G60" s="1091"/>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89"/>
      <c r="D61" s="1090"/>
      <c r="E61" s="1090"/>
      <c r="F61" s="1090"/>
      <c r="G61" s="1091"/>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92"/>
      <c r="D62" s="1093"/>
      <c r="E62" s="1093"/>
      <c r="F62" s="1093"/>
      <c r="G62" s="1094"/>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2018-19</v>
      </c>
      <c r="E64" s="180" t="str">
        <f>E40</f>
        <v>2018-19</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510</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15693.636378156496</v>
      </c>
      <c r="E69" s="226">
        <f>+'EXHIBIT C'!D20</f>
        <v>11937</v>
      </c>
      <c r="F69" s="224">
        <f t="shared" si="2"/>
        <v>-0.23937322667837813</v>
      </c>
      <c r="G69" s="225"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3853.4315379623622</v>
      </c>
      <c r="E70" s="228">
        <f>+'EXHIBIT C'!D21</f>
        <v>2414</v>
      </c>
      <c r="F70" s="224">
        <f t="shared" si="2"/>
        <v>-0.37354537735566273</v>
      </c>
      <c r="G70" s="225"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2380.6159209761768</v>
      </c>
      <c r="E71" s="228">
        <f>+'EXHIBIT C'!D22</f>
        <v>584</v>
      </c>
      <c r="F71" s="224">
        <f t="shared" si="2"/>
        <v>-0.75468533380196434</v>
      </c>
      <c r="G71" s="225"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438.47887323943655</v>
      </c>
      <c r="E72" s="228">
        <f>+'EXHIBIT C'!D23</f>
        <v>478</v>
      </c>
      <c r="F72" s="224">
        <f t="shared" si="2"/>
        <v>9.0132339714763088E-2</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4.6153846153846159</v>
      </c>
      <c r="E73" s="230">
        <f>+'EXHIBIT C'!D24</f>
        <v>0</v>
      </c>
      <c r="F73" s="231">
        <f t="shared" si="2"/>
        <v>-1</v>
      </c>
      <c r="G73" s="232" t="str">
        <f t="shared" si="3"/>
        <v>YES</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22370.778094949856</v>
      </c>
      <c r="E74" s="234">
        <f>SUM(E68:E73)</f>
        <v>15923</v>
      </c>
      <c r="F74" s="235">
        <f t="shared" si="2"/>
        <v>-0.2882232378142191</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4" customHeight="1" thickBot="1">
      <c r="C75" s="1280" t="s">
        <v>591</v>
      </c>
      <c r="D75" s="1281"/>
      <c r="E75" s="1281"/>
      <c r="F75" s="1281"/>
      <c r="G75" s="1282"/>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081" t="s">
        <v>461</v>
      </c>
      <c r="D76" s="1082"/>
      <c r="E76" s="1082"/>
      <c r="F76" s="1082"/>
      <c r="G76" s="1083"/>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43.5" customHeight="1">
      <c r="A77" s="174"/>
      <c r="B77" s="174"/>
      <c r="C77" s="1286" t="s">
        <v>787</v>
      </c>
      <c r="D77" s="1287"/>
      <c r="E77" s="1287"/>
      <c r="F77" s="1287"/>
      <c r="G77" s="1288"/>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95"/>
      <c r="D78" s="1096"/>
      <c r="E78" s="1096"/>
      <c r="F78" s="1096"/>
      <c r="G78" s="1097"/>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95"/>
      <c r="D79" s="1096"/>
      <c r="E79" s="1096"/>
      <c r="F79" s="1096"/>
      <c r="G79" s="1097"/>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95"/>
      <c r="D80" s="1096"/>
      <c r="E80" s="1096"/>
      <c r="F80" s="1096"/>
      <c r="G80" s="1097"/>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95"/>
      <c r="D81" s="1096"/>
      <c r="E81" s="1096"/>
      <c r="F81" s="1096"/>
      <c r="G81" s="1097"/>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95"/>
      <c r="D82" s="1096"/>
      <c r="E82" s="1096"/>
      <c r="F82" s="1096"/>
      <c r="G82" s="1097"/>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95"/>
      <c r="D83" s="1096"/>
      <c r="E83" s="1096"/>
      <c r="F83" s="1096"/>
      <c r="G83" s="1097"/>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95"/>
      <c r="D84" s="1096"/>
      <c r="E84" s="1096"/>
      <c r="F84" s="1096"/>
      <c r="G84" s="1097"/>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95"/>
      <c r="D85" s="1096"/>
      <c r="E85" s="1096"/>
      <c r="F85" s="1096"/>
      <c r="G85" s="1097"/>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98"/>
      <c r="D86" s="1099"/>
      <c r="E86" s="1099"/>
      <c r="F86" s="1099"/>
      <c r="G86" s="1100"/>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274"/>
      <c r="C99" s="1289" t="s">
        <v>621</v>
      </c>
      <c r="D99" s="1289"/>
      <c r="E99" s="1289"/>
      <c r="F99" s="1289"/>
      <c r="G99" s="1076"/>
      <c r="H99" s="1076"/>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37651865</v>
      </c>
      <c r="E102" s="249">
        <f>+'EXHIBIT D'!G75</f>
        <v>37651865</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0</v>
      </c>
      <c r="E103" s="249">
        <f>'EXHIBIT D'!G77</f>
        <v>0</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12275578</v>
      </c>
      <c r="E104" s="249">
        <f>'EXHIBIT D'!G81</f>
        <v>12275578</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49927443</v>
      </c>
      <c r="E106" s="256">
        <f t="shared" ref="E106:F106" si="4">SUM(E102:E104)</f>
        <v>49927443</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90" t="s">
        <v>732</v>
      </c>
      <c r="D117" s="1290"/>
      <c r="E117" s="1290"/>
      <c r="F117" s="1290"/>
      <c r="G117" s="1290"/>
      <c r="H117" s="1088"/>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88"/>
      <c r="D118" s="1088"/>
      <c r="E118" s="1088"/>
      <c r="F118" s="1088"/>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13321037</v>
      </c>
      <c r="D119" s="1069" t="s">
        <v>716</v>
      </c>
      <c r="E119" s="1069"/>
      <c r="F119" s="1069"/>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13321037</v>
      </c>
      <c r="D120" s="1073" t="s">
        <v>717</v>
      </c>
      <c r="E120" s="1073"/>
      <c r="F120" s="1073"/>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91" t="s">
        <v>646</v>
      </c>
      <c r="E121" s="1291"/>
      <c r="F121" s="1291"/>
      <c r="G121" s="1291"/>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77" t="s">
        <v>776</v>
      </c>
      <c r="D124" s="1277"/>
      <c r="E124" s="1277"/>
      <c r="F124" s="1277"/>
      <c r="G124" s="1277"/>
      <c r="H124" s="1071"/>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50460465</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50460465</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0</v>
      </c>
      <c r="D128" s="1074" t="s">
        <v>606</v>
      </c>
      <c r="E128" s="1074"/>
      <c r="F128" s="1074"/>
      <c r="G128" s="1074"/>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92" t="s">
        <v>775</v>
      </c>
      <c r="E132" s="1292"/>
      <c r="F132" s="1292"/>
      <c r="G132" s="1292"/>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075"/>
      <c r="C135" s="1293" t="s">
        <v>593</v>
      </c>
      <c r="D135" s="1293"/>
      <c r="E135" s="1293"/>
      <c r="F135" s="1293"/>
      <c r="G135" s="1293"/>
      <c r="H135" s="1080"/>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91.789986623351808</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458.6392156862745</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11"/>
      <c r="D141" s="1112"/>
      <c r="E141" s="1112"/>
    </row>
    <row r="142" spans="1:53" s="29" customFormat="1" ht="19.899999999999999" customHeight="1">
      <c r="A142" s="1075" t="s">
        <v>501</v>
      </c>
      <c r="B142" s="1075"/>
      <c r="C142" s="1075"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110" t="s">
        <v>739</v>
      </c>
      <c r="E144" s="1110"/>
      <c r="F144" s="1110"/>
      <c r="G144" s="284"/>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94" t="s">
        <v>740</v>
      </c>
      <c r="E147" s="1294"/>
      <c r="F147" s="1294"/>
      <c r="G147" s="1294"/>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10"/>
      <c r="E149" s="1110"/>
      <c r="F149" s="1110"/>
      <c r="G149" s="1110"/>
      <c r="U149" s="164"/>
      <c r="V149" s="164"/>
      <c r="W149" s="164"/>
      <c r="X149" s="164"/>
      <c r="Y149" s="164"/>
      <c r="Z149" s="164"/>
      <c r="AA149" s="164"/>
      <c r="AB149" s="164"/>
      <c r="AC149" s="164"/>
      <c r="AD149" s="164"/>
      <c r="AE149" s="164"/>
      <c r="AF149" s="164"/>
      <c r="AG149" s="164"/>
    </row>
    <row r="150" spans="1:33" ht="19.899999999999999" customHeight="1">
      <c r="A150" s="29"/>
      <c r="C150" s="285"/>
      <c r="D150" s="1110"/>
      <c r="E150" s="1110"/>
      <c r="F150" s="1110"/>
      <c r="G150" s="1110"/>
      <c r="U150" s="164"/>
      <c r="V150" s="164"/>
      <c r="W150" s="164"/>
      <c r="X150" s="164"/>
      <c r="Y150" s="164"/>
      <c r="Z150" s="164"/>
      <c r="AA150" s="164"/>
      <c r="AB150" s="164"/>
      <c r="AC150" s="164"/>
      <c r="AD150" s="164"/>
      <c r="AE150" s="164"/>
      <c r="AF150" s="164"/>
      <c r="AG150" s="164"/>
    </row>
    <row r="151" spans="1:33" ht="61.9" customHeight="1">
      <c r="A151" s="278" t="s">
        <v>502</v>
      </c>
      <c r="B151" s="1075"/>
      <c r="C151" s="1293" t="s">
        <v>650</v>
      </c>
      <c r="D151" s="1293"/>
      <c r="E151" s="1293"/>
      <c r="F151" s="1293"/>
      <c r="G151" s="1293"/>
      <c r="H151" s="1080"/>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0" t="s">
        <v>607</v>
      </c>
      <c r="E153" s="1070"/>
      <c r="F153" s="1070"/>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84" t="s">
        <v>706</v>
      </c>
      <c r="D155" s="1085"/>
      <c r="E155" s="1085"/>
      <c r="F155" s="1085"/>
      <c r="G155" s="1086"/>
      <c r="H155" s="52"/>
      <c r="U155" s="164"/>
      <c r="V155" s="164"/>
      <c r="W155" s="164"/>
      <c r="X155" s="164"/>
      <c r="Y155" s="164"/>
      <c r="Z155" s="164"/>
      <c r="AA155" s="164"/>
      <c r="AB155" s="164"/>
      <c r="AC155" s="164"/>
      <c r="AD155" s="164"/>
      <c r="AE155" s="164"/>
      <c r="AF155" s="164"/>
      <c r="AG155" s="164"/>
    </row>
    <row r="156" spans="1:33" ht="19.899999999999999" customHeight="1">
      <c r="A156" s="29"/>
      <c r="C156" s="1101"/>
      <c r="D156" s="1102"/>
      <c r="E156" s="1102"/>
      <c r="F156" s="1102"/>
      <c r="G156" s="1103"/>
      <c r="H156" s="286"/>
      <c r="U156" s="164"/>
      <c r="V156" s="164"/>
      <c r="W156" s="164"/>
      <c r="X156" s="164"/>
      <c r="Y156" s="164"/>
      <c r="Z156" s="164"/>
      <c r="AA156" s="164"/>
      <c r="AB156" s="164"/>
      <c r="AC156" s="164"/>
      <c r="AD156" s="164"/>
      <c r="AE156" s="164"/>
      <c r="AF156" s="164"/>
      <c r="AG156" s="164"/>
    </row>
    <row r="157" spans="1:33" ht="19.899999999999999" customHeight="1">
      <c r="A157" s="29"/>
      <c r="C157" s="1104"/>
      <c r="D157" s="1105"/>
      <c r="E157" s="1105"/>
      <c r="F157" s="1105"/>
      <c r="G157" s="1106"/>
      <c r="H157" s="286"/>
      <c r="U157" s="164"/>
      <c r="V157" s="164"/>
      <c r="W157" s="164"/>
      <c r="X157" s="164"/>
      <c r="Y157" s="164"/>
      <c r="Z157" s="164"/>
      <c r="AA157" s="164"/>
      <c r="AB157" s="164"/>
      <c r="AC157" s="164"/>
      <c r="AD157" s="164"/>
      <c r="AE157" s="164"/>
      <c r="AF157" s="164"/>
      <c r="AG157" s="164"/>
    </row>
    <row r="158" spans="1:33" ht="19.899999999999999" customHeight="1">
      <c r="A158" s="29"/>
      <c r="C158" s="1104"/>
      <c r="D158" s="1105"/>
      <c r="E158" s="1105"/>
      <c r="F158" s="1105"/>
      <c r="G158" s="1106"/>
      <c r="H158" s="286"/>
      <c r="U158" s="164"/>
      <c r="V158" s="164"/>
      <c r="W158" s="164"/>
      <c r="X158" s="164"/>
      <c r="Y158" s="164"/>
      <c r="Z158" s="164"/>
      <c r="AA158" s="164"/>
      <c r="AB158" s="164"/>
      <c r="AC158" s="164"/>
      <c r="AD158" s="164"/>
      <c r="AE158" s="164"/>
      <c r="AF158" s="164"/>
      <c r="AG158" s="164"/>
    </row>
    <row r="159" spans="1:33" ht="19.899999999999999" customHeight="1">
      <c r="A159" s="29"/>
      <c r="C159" s="1104"/>
      <c r="D159" s="1105"/>
      <c r="E159" s="1105"/>
      <c r="F159" s="1105"/>
      <c r="G159" s="1106"/>
      <c r="H159" s="286"/>
      <c r="U159" s="164"/>
      <c r="V159" s="164"/>
      <c r="W159" s="164"/>
      <c r="X159" s="164"/>
      <c r="Y159" s="164"/>
      <c r="Z159" s="164"/>
      <c r="AA159" s="164"/>
      <c r="AB159" s="164"/>
      <c r="AC159" s="164"/>
      <c r="AD159" s="164"/>
      <c r="AE159" s="164"/>
      <c r="AF159" s="164"/>
      <c r="AG159" s="164"/>
    </row>
    <row r="160" spans="1:33" ht="19.899999999999999" customHeight="1">
      <c r="A160" s="29"/>
      <c r="C160" s="1104"/>
      <c r="D160" s="1105"/>
      <c r="E160" s="1105"/>
      <c r="F160" s="1105"/>
      <c r="G160" s="1106"/>
      <c r="H160" s="286"/>
      <c r="U160" s="164"/>
      <c r="V160" s="164"/>
      <c r="W160" s="164"/>
      <c r="X160" s="164"/>
      <c r="Y160" s="164"/>
      <c r="Z160" s="164"/>
      <c r="AA160" s="164"/>
      <c r="AB160" s="164"/>
      <c r="AC160" s="164"/>
      <c r="AD160" s="164"/>
      <c r="AE160" s="164"/>
      <c r="AF160" s="164"/>
      <c r="AG160" s="164"/>
    </row>
    <row r="161" spans="1:33" ht="19.899999999999999" customHeight="1">
      <c r="A161" s="29"/>
      <c r="C161" s="1104"/>
      <c r="D161" s="1105"/>
      <c r="E161" s="1105"/>
      <c r="F161" s="1105"/>
      <c r="G161" s="1106"/>
      <c r="H161" s="286"/>
      <c r="U161" s="164"/>
      <c r="V161" s="164"/>
      <c r="W161" s="164"/>
      <c r="X161" s="164"/>
      <c r="Y161" s="164"/>
      <c r="Z161" s="164"/>
      <c r="AA161" s="164"/>
      <c r="AB161" s="164"/>
      <c r="AC161" s="164"/>
      <c r="AD161" s="164"/>
      <c r="AE161" s="164"/>
      <c r="AF161" s="164"/>
      <c r="AG161" s="164"/>
    </row>
    <row r="162" spans="1:33" ht="19.899999999999999" customHeight="1">
      <c r="A162" s="29"/>
      <c r="C162" s="1104"/>
      <c r="D162" s="1105"/>
      <c r="E162" s="1105"/>
      <c r="F162" s="1105"/>
      <c r="G162" s="1106"/>
      <c r="H162" s="286"/>
      <c r="U162" s="164"/>
      <c r="V162" s="164"/>
      <c r="W162" s="164"/>
      <c r="X162" s="164"/>
      <c r="Y162" s="164"/>
      <c r="Z162" s="164"/>
      <c r="AA162" s="164"/>
      <c r="AB162" s="164"/>
      <c r="AC162" s="164"/>
      <c r="AD162" s="164"/>
      <c r="AE162" s="164"/>
      <c r="AF162" s="164"/>
      <c r="AG162" s="164"/>
    </row>
    <row r="163" spans="1:33" ht="19.899999999999999" customHeight="1">
      <c r="A163" s="29"/>
      <c r="C163" s="1104"/>
      <c r="D163" s="1105"/>
      <c r="E163" s="1105"/>
      <c r="F163" s="1105"/>
      <c r="G163" s="1106"/>
      <c r="H163" s="286"/>
      <c r="U163" s="164"/>
      <c r="V163" s="164"/>
      <c r="W163" s="164"/>
      <c r="X163" s="164"/>
      <c r="Y163" s="164"/>
      <c r="Z163" s="164"/>
      <c r="AA163" s="164"/>
      <c r="AB163" s="164"/>
      <c r="AC163" s="164"/>
      <c r="AD163" s="164"/>
      <c r="AE163" s="164"/>
      <c r="AF163" s="164"/>
      <c r="AG163" s="164"/>
    </row>
    <row r="164" spans="1:33" ht="19.899999999999999" customHeight="1">
      <c r="A164" s="29"/>
      <c r="C164" s="1104"/>
      <c r="D164" s="1105"/>
      <c r="E164" s="1105"/>
      <c r="F164" s="1105"/>
      <c r="G164" s="1106"/>
      <c r="H164" s="286"/>
      <c r="U164" s="164"/>
      <c r="V164" s="164"/>
      <c r="W164" s="164"/>
      <c r="X164" s="164"/>
      <c r="Y164" s="164"/>
      <c r="Z164" s="164"/>
      <c r="AA164" s="164"/>
      <c r="AB164" s="164"/>
      <c r="AC164" s="164"/>
      <c r="AD164" s="164"/>
      <c r="AE164" s="164"/>
      <c r="AF164" s="164"/>
      <c r="AG164" s="164"/>
    </row>
    <row r="165" spans="1:33" ht="19.899999999999999" customHeight="1" thickBot="1">
      <c r="A165" s="29"/>
      <c r="C165" s="1107"/>
      <c r="D165" s="1108"/>
      <c r="E165" s="1108"/>
      <c r="F165" s="1108"/>
      <c r="G165" s="1109"/>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efmW8nctaEsaDbLBF8SfThe66A1kUt34yHlshVRp9bVzGb9fVf/Tc9RA5kC3vjJMvRoQ0w1BgzzwY9Qmlc24xA==" saltValue="uAFzc8vIEZR5PixQIl8CO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pageSetUpPr fitToPage="1"/>
  </sheetPr>
  <dimension ref="A1:J91"/>
  <sheetViews>
    <sheetView showGridLines="0" zoomScale="60" zoomScaleNormal="60" zoomScaleSheetLayoutView="90" workbookViewId="0">
      <selection activeCell="I8" sqref="I8"/>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70"/>
      <c r="B1" s="1295" t="s">
        <v>653</v>
      </c>
      <c r="C1" s="1295"/>
      <c r="D1" s="1295"/>
      <c r="E1" s="1295"/>
      <c r="F1" s="546"/>
      <c r="G1" s="546"/>
    </row>
    <row r="2" spans="1:7" ht="26.25">
      <c r="A2" s="1270"/>
      <c r="B2" s="1296" t="s">
        <v>259</v>
      </c>
      <c r="C2" s="1296"/>
      <c r="D2" s="1296"/>
      <c r="E2" s="1296"/>
      <c r="F2" s="1115"/>
      <c r="G2" s="1115"/>
    </row>
    <row r="3" spans="1:7" ht="26.25">
      <c r="A3" s="1270"/>
      <c r="B3" s="1296" t="s">
        <v>444</v>
      </c>
      <c r="C3" s="1296"/>
      <c r="D3" s="1296"/>
      <c r="E3" s="1296"/>
      <c r="F3" s="1115"/>
      <c r="G3" s="1115"/>
    </row>
    <row r="4" spans="1:7" ht="26.25">
      <c r="A4" s="1270"/>
      <c r="B4" s="1296" t="s">
        <v>654</v>
      </c>
      <c r="C4" s="1296"/>
      <c r="D4" s="1296"/>
      <c r="E4" s="1296"/>
      <c r="F4" s="1115"/>
      <c r="G4" s="1115"/>
    </row>
    <row r="5" spans="1:7" ht="26.25">
      <c r="A5" s="1270"/>
      <c r="B5" s="1295" t="s">
        <v>721</v>
      </c>
      <c r="C5" s="1295"/>
      <c r="D5" s="1295"/>
      <c r="E5" s="1295"/>
      <c r="F5" s="1116"/>
      <c r="G5" s="1116"/>
    </row>
    <row r="6" spans="1:7" ht="25.15" customHeight="1">
      <c r="B6" s="1116"/>
      <c r="C6" s="1116"/>
      <c r="D6" s="1116"/>
      <c r="E6" s="1116"/>
      <c r="F6" s="1116"/>
      <c r="G6" s="1116"/>
    </row>
    <row r="7" spans="1:7" ht="25.15" customHeight="1">
      <c r="B7" s="546"/>
      <c r="C7" s="546"/>
      <c r="D7" s="660"/>
      <c r="E7" s="660"/>
      <c r="F7" s="660"/>
      <c r="G7" s="660"/>
    </row>
    <row r="8" spans="1:7" ht="25.15" customHeight="1">
      <c r="B8" s="662" t="s">
        <v>15</v>
      </c>
      <c r="C8" s="1114" t="str">
        <f>'CHECK SHEET'!D7</f>
        <v>Daytona State College</v>
      </c>
      <c r="D8" s="1114"/>
      <c r="E8" s="1114"/>
      <c r="F8" s="659"/>
      <c r="G8" s="659"/>
    </row>
    <row r="9" spans="1:7" ht="25.15" customHeight="1">
      <c r="D9" s="213"/>
      <c r="E9" s="213"/>
      <c r="F9" s="213"/>
      <c r="G9" s="213"/>
    </row>
    <row r="10" spans="1:7" ht="41.45" customHeight="1">
      <c r="E10" s="308" t="s">
        <v>670</v>
      </c>
    </row>
    <row r="11" spans="1:7" ht="25.15" customHeight="1">
      <c r="B11" s="165" t="s">
        <v>722</v>
      </c>
      <c r="C11" s="165"/>
      <c r="D11" s="165"/>
      <c r="E11" s="287"/>
    </row>
    <row r="12" spans="1:7" ht="25.15" customHeight="1">
      <c r="B12" s="165"/>
      <c r="C12" s="165"/>
      <c r="D12" s="165"/>
    </row>
    <row r="13" spans="1:7" ht="25.15" customHeight="1">
      <c r="B13" s="50" t="s">
        <v>723</v>
      </c>
      <c r="D13" s="165"/>
      <c r="E13" s="868">
        <v>11867940</v>
      </c>
    </row>
    <row r="14" spans="1:7" ht="25.15" customHeight="1">
      <c r="B14" s="50" t="s">
        <v>651</v>
      </c>
      <c r="C14" s="33"/>
      <c r="D14" s="165"/>
      <c r="E14" s="869">
        <v>50460465</v>
      </c>
    </row>
    <row r="15" spans="1:7" ht="25.15" customHeight="1">
      <c r="B15" s="165"/>
      <c r="C15" s="165"/>
      <c r="D15" s="165"/>
      <c r="E15" s="288"/>
    </row>
    <row r="16" spans="1:7" ht="25.15" customHeight="1">
      <c r="B16" s="33" t="s">
        <v>724</v>
      </c>
      <c r="C16" s="48"/>
      <c r="D16" s="48"/>
      <c r="E16" s="298">
        <f>+E14+E13</f>
        <v>62328405</v>
      </c>
    </row>
    <row r="17" spans="2:7" ht="25.15" customHeight="1">
      <c r="B17" s="165"/>
      <c r="C17" s="165"/>
      <c r="D17" s="165"/>
      <c r="E17" s="289"/>
    </row>
    <row r="18" spans="2:7" ht="25.15" customHeight="1">
      <c r="B18" s="50" t="s">
        <v>530</v>
      </c>
      <c r="D18" s="165"/>
      <c r="E18" s="309">
        <f>+'EXHIBIT D'!G141-SUM(+'EXHIBIT D'!G130+'EXHIBIT D'!G131+'EXHIBIT D'!G132+'EXHIBIT D'!G133)</f>
        <v>83674988</v>
      </c>
      <c r="G18" s="290"/>
    </row>
    <row r="19" spans="2:7" ht="25.15" customHeight="1">
      <c r="B19" s="50" t="s">
        <v>531</v>
      </c>
      <c r="D19" s="165"/>
      <c r="E19" s="298">
        <f>+'EXHIBIT D'!G130+'EXHIBIT D'!G131+'EXHIBIT D'!G132+'EXHIBIT D'!G133</f>
        <v>650000</v>
      </c>
    </row>
    <row r="20" spans="2:7" ht="25.15" customHeight="1">
      <c r="B20" s="165"/>
      <c r="C20" s="165"/>
      <c r="D20" s="165"/>
      <c r="E20" s="299"/>
    </row>
    <row r="21" spans="2:7" ht="25.15" customHeight="1">
      <c r="B21" s="50" t="s">
        <v>16</v>
      </c>
      <c r="C21" s="165"/>
      <c r="D21" s="165"/>
      <c r="E21" s="296">
        <f>+E19+E18</f>
        <v>84324988</v>
      </c>
    </row>
    <row r="22" spans="2:7" ht="25.15" customHeight="1">
      <c r="B22" s="165"/>
      <c r="C22" s="165"/>
      <c r="D22" s="165"/>
      <c r="E22" s="299"/>
    </row>
    <row r="23" spans="2:7" ht="25.15" customHeight="1">
      <c r="B23" s="165" t="s">
        <v>17</v>
      </c>
      <c r="C23" s="165"/>
      <c r="D23" s="165"/>
      <c r="E23" s="296">
        <f>+E21+E16</f>
        <v>146653393</v>
      </c>
    </row>
    <row r="24" spans="2:7" ht="25.15" customHeight="1">
      <c r="B24" s="165"/>
      <c r="C24" s="165"/>
      <c r="D24" s="165"/>
      <c r="E24" s="299"/>
    </row>
    <row r="25" spans="2:7" ht="25.15" customHeight="1">
      <c r="B25" s="50" t="s">
        <v>529</v>
      </c>
      <c r="D25" s="165"/>
      <c r="E25" s="310">
        <f>'EXHIBIT D'!G253-SUM(+'EXHIBIT D'!G227+'EXHIBIT D'!G228+'EXHIBIT D'!G229+'EXHIBIT D'!G230+'EXHIBIT D'!G231)</f>
        <v>83649988</v>
      </c>
    </row>
    <row r="26" spans="2:7" ht="25.15" customHeight="1">
      <c r="B26" s="50" t="s">
        <v>479</v>
      </c>
      <c r="D26" s="165"/>
      <c r="E26" s="298">
        <f>'EXHIBIT D'!G227+'EXHIBIT D'!G228+'EXHIBIT D'!G229+'EXHIBIT D'!G230+'EXHIBIT D'!G231</f>
        <v>675000</v>
      </c>
    </row>
    <row r="27" spans="2:7" ht="25.15" customHeight="1">
      <c r="B27" s="165"/>
      <c r="C27" s="165"/>
      <c r="D27" s="165"/>
      <c r="E27" s="299"/>
    </row>
    <row r="28" spans="2:7" ht="25.15" customHeight="1">
      <c r="B28" s="165" t="s">
        <v>18</v>
      </c>
      <c r="C28" s="165"/>
      <c r="D28" s="165"/>
      <c r="E28" s="311">
        <f>+E26+E25</f>
        <v>84324988</v>
      </c>
    </row>
    <row r="29" spans="2:7" ht="25.15" customHeight="1">
      <c r="B29" s="165"/>
      <c r="C29" s="165"/>
      <c r="D29" s="165"/>
      <c r="E29" s="291"/>
    </row>
    <row r="30" spans="2:7" ht="25.15" customHeight="1">
      <c r="B30" s="165" t="s">
        <v>725</v>
      </c>
      <c r="C30" s="165"/>
      <c r="D30" s="165"/>
      <c r="E30" s="291"/>
    </row>
    <row r="31" spans="2:7" ht="25.15" customHeight="1">
      <c r="B31" s="165"/>
      <c r="C31" s="165"/>
      <c r="D31" s="165"/>
      <c r="E31" s="291"/>
    </row>
    <row r="32" spans="2:7" ht="25.15" customHeight="1">
      <c r="B32" s="50" t="s">
        <v>19</v>
      </c>
      <c r="C32" s="165"/>
      <c r="D32" s="292">
        <f>+E23-E28</f>
        <v>62328405</v>
      </c>
      <c r="E32" s="291"/>
    </row>
    <row r="33" spans="2:10" ht="25.15" customHeight="1">
      <c r="B33" s="33" t="s">
        <v>480</v>
      </c>
      <c r="D33" s="293">
        <f>+'EXHIBIT D'!G185</f>
        <v>0</v>
      </c>
      <c r="E33" s="291"/>
      <c r="J33" s="213"/>
    </row>
    <row r="34" spans="2:10" ht="25.15" customHeight="1">
      <c r="B34" s="165"/>
      <c r="C34" s="165"/>
      <c r="D34" s="165"/>
      <c r="E34" s="291"/>
      <c r="J34" s="294"/>
    </row>
    <row r="35" spans="2:10" ht="25.15" customHeight="1">
      <c r="B35" s="50" t="s">
        <v>726</v>
      </c>
      <c r="C35" s="165"/>
      <c r="D35" s="165"/>
      <c r="E35" s="295">
        <f>+D32+D33</f>
        <v>62328405</v>
      </c>
      <c r="J35" s="213"/>
    </row>
    <row r="36" spans="2:10" ht="25.15" customHeight="1">
      <c r="B36" s="50" t="s">
        <v>727</v>
      </c>
      <c r="D36" s="165"/>
      <c r="E36" s="296">
        <f>-'EXHIBIT D'!G269</f>
        <v>50460465</v>
      </c>
      <c r="J36" s="297"/>
    </row>
    <row r="37" spans="2:10" ht="25.15" customHeight="1">
      <c r="D37" s="165"/>
      <c r="E37" s="295"/>
      <c r="J37" s="213"/>
    </row>
    <row r="38" spans="2:10" ht="25.15" customHeight="1">
      <c r="B38" s="165" t="s">
        <v>728</v>
      </c>
      <c r="C38" s="165"/>
      <c r="D38" s="165"/>
      <c r="E38" s="298">
        <f>+E35-E36</f>
        <v>11867940</v>
      </c>
      <c r="J38" s="213"/>
    </row>
    <row r="39" spans="2:10" ht="25.15" customHeight="1">
      <c r="B39" s="165"/>
      <c r="C39" s="165"/>
      <c r="D39" s="165"/>
      <c r="E39" s="299"/>
    </row>
    <row r="40" spans="2:10" ht="25.15" customHeight="1">
      <c r="B40" s="33" t="s">
        <v>729</v>
      </c>
      <c r="C40" s="33"/>
      <c r="D40" s="48"/>
      <c r="E40" s="300">
        <f>'EXHIBIT D'!G258+'EXHIBIT D'!G259+'EXHIBIT D'!G260+'EXHIBIT D'!G261+'EXHIBIT D'!G262+'EXHIBIT D'!G263+'EXHIBIT D'!G264+'EXHIBIT D'!G265</f>
        <v>13321037</v>
      </c>
    </row>
    <row r="41" spans="2:10" ht="25.15" customHeight="1">
      <c r="B41" s="33" t="s">
        <v>652</v>
      </c>
      <c r="D41" s="48"/>
      <c r="E41" s="301"/>
    </row>
    <row r="42" spans="2:10" ht="25.15" customHeight="1">
      <c r="D42" s="165"/>
      <c r="E42" s="302"/>
    </row>
    <row r="43" spans="2:10" ht="25.15" customHeight="1">
      <c r="B43" s="165" t="s">
        <v>475</v>
      </c>
      <c r="C43" s="165"/>
      <c r="D43" s="165"/>
      <c r="E43" s="302"/>
    </row>
    <row r="44" spans="2:10" ht="25.15" customHeight="1">
      <c r="B44" s="165" t="s">
        <v>730</v>
      </c>
      <c r="C44" s="165"/>
      <c r="D44" s="165"/>
      <c r="E44" s="303">
        <f>+E40/E23</f>
        <v>9.0833472908465204E-2</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655</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7jk1BLsQ1VwM8SWh9kYITLOZ9sFDfXsizpnZB19DN3o+1+oMoLf00g+Kt2rxp87ZnoUOWN/oIkYu3eL0uWdZZw==" saltValue="f01IfYQDyhE6G8w/vDUlb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R86"/>
  <sheetViews>
    <sheetView showGridLines="0" zoomScale="60" zoomScaleNormal="60" workbookViewId="0">
      <selection activeCell="E48" sqref="E48"/>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6" customFormat="1" ht="22.9" customHeight="1">
      <c r="I1" s="1113" t="s">
        <v>21</v>
      </c>
      <c r="L1" s="1113"/>
      <c r="M1" s="1113"/>
      <c r="N1" s="1113"/>
      <c r="O1" s="1113"/>
      <c r="P1" s="1113"/>
      <c r="Q1" s="1113"/>
      <c r="R1" s="1113"/>
    </row>
    <row r="2" spans="1:18" s="546" customFormat="1" ht="19.899999999999999" customHeight="1"/>
    <row r="3" spans="1:18" s="546" customFormat="1" ht="19.899999999999999" customHeight="1">
      <c r="A3" s="1296" t="s">
        <v>259</v>
      </c>
      <c r="B3" s="1296"/>
      <c r="C3" s="1296"/>
      <c r="D3" s="1296"/>
      <c r="E3" s="1296"/>
      <c r="F3" s="1296"/>
      <c r="G3" s="1296"/>
      <c r="H3" s="1296"/>
      <c r="I3" s="1115"/>
      <c r="J3" s="545"/>
      <c r="K3" s="545"/>
    </row>
    <row r="4" spans="1:18" s="546" customFormat="1" ht="19.899999999999999" customHeight="1">
      <c r="A4" s="1296" t="s">
        <v>444</v>
      </c>
      <c r="B4" s="1296"/>
      <c r="C4" s="1296"/>
      <c r="D4" s="1296"/>
      <c r="E4" s="1296"/>
      <c r="F4" s="1296"/>
      <c r="G4" s="1296"/>
      <c r="H4" s="1296"/>
      <c r="I4" s="1115"/>
    </row>
    <row r="5" spans="1:18" s="546" customFormat="1" ht="19.899999999999999" customHeight="1">
      <c r="A5" s="1296" t="s">
        <v>733</v>
      </c>
      <c r="B5" s="1296"/>
      <c r="C5" s="1296"/>
      <c r="D5" s="1296"/>
      <c r="E5" s="1296"/>
      <c r="F5" s="1296"/>
      <c r="G5" s="1296"/>
      <c r="H5" s="1296"/>
      <c r="I5" s="1115"/>
    </row>
    <row r="6" spans="1:18" s="546" customFormat="1" ht="19.899999999999999" customHeight="1">
      <c r="A6" s="1296" t="s">
        <v>675</v>
      </c>
      <c r="B6" s="1296"/>
      <c r="C6" s="1296"/>
      <c r="D6" s="1296"/>
      <c r="E6" s="1296"/>
      <c r="F6" s="1296"/>
      <c r="G6" s="1296"/>
      <c r="H6" s="1296"/>
      <c r="I6" s="1115"/>
    </row>
    <row r="7" spans="1:18" s="546" customFormat="1" ht="19.899999999999999" customHeight="1">
      <c r="A7" s="1295"/>
      <c r="B7" s="1295"/>
      <c r="C7" s="1295"/>
      <c r="D7" s="1295"/>
      <c r="E7" s="1295"/>
      <c r="F7" s="1295"/>
      <c r="G7" s="1295"/>
      <c r="H7" s="1295"/>
      <c r="I7" s="1116"/>
    </row>
    <row r="8" spans="1:18" s="546" customFormat="1" ht="25.15" customHeight="1" thickBot="1">
      <c r="A8" s="1295"/>
      <c r="B8" s="1299"/>
      <c r="C8" s="1295" t="s">
        <v>15</v>
      </c>
      <c r="D8" s="1300" t="str">
        <f>'CHECK SHEET'!D7</f>
        <v>Daytona State College</v>
      </c>
      <c r="E8" s="1300"/>
      <c r="F8" s="1300"/>
      <c r="G8" s="1300"/>
      <c r="H8" s="1300"/>
    </row>
    <row r="9" spans="1:18" s="50" customFormat="1" ht="19.899999999999999" customHeight="1"/>
    <row r="10" spans="1:18" s="50" customFormat="1" ht="19.899999999999999" customHeight="1">
      <c r="B10" s="165"/>
      <c r="C10" s="165"/>
      <c r="D10" s="165"/>
      <c r="E10" s="1297"/>
      <c r="F10" s="1298"/>
      <c r="G10" s="1298"/>
    </row>
    <row r="11" spans="1:18" s="50" customFormat="1" ht="19.899999999999999" customHeight="1">
      <c r="B11" s="1117" t="s">
        <v>22</v>
      </c>
      <c r="C11" s="1117"/>
      <c r="D11" s="158"/>
      <c r="E11" s="158"/>
    </row>
    <row r="12" spans="1:18" s="50" customFormat="1" ht="19.899999999999999" customHeight="1" thickBot="1">
      <c r="B12" s="1118" t="s">
        <v>537</v>
      </c>
      <c r="C12" s="1118"/>
      <c r="D12" s="1118"/>
      <c r="E12" s="1118"/>
      <c r="J12" s="165"/>
    </row>
    <row r="13" spans="1:18" s="50" customFormat="1" ht="115.15" customHeight="1" thickBot="1">
      <c r="A13" s="663" t="s">
        <v>256</v>
      </c>
      <c r="B13" s="586" t="s">
        <v>7</v>
      </c>
      <c r="C13" s="1123" t="s">
        <v>377</v>
      </c>
      <c r="D13" s="586" t="s">
        <v>455</v>
      </c>
      <c r="E13" s="586" t="s">
        <v>385</v>
      </c>
      <c r="F13" s="1122" t="s">
        <v>386</v>
      </c>
      <c r="G13" s="586" t="s">
        <v>2</v>
      </c>
      <c r="H13" s="1123" t="s">
        <v>609</v>
      </c>
      <c r="I13" s="33"/>
      <c r="J13" s="48"/>
      <c r="K13" s="33"/>
    </row>
    <row r="14" spans="1:18" s="50" customFormat="1" ht="19.899999999999999" customHeight="1">
      <c r="A14" s="664" t="s">
        <v>656</v>
      </c>
      <c r="B14" s="823">
        <v>91.79</v>
      </c>
      <c r="C14" s="823">
        <v>4.5</v>
      </c>
      <c r="D14" s="823">
        <v>9</v>
      </c>
      <c r="E14" s="823">
        <v>10.53</v>
      </c>
      <c r="F14" s="823">
        <v>4.5</v>
      </c>
      <c r="G14" s="665">
        <f>SUM(B14:F14)</f>
        <v>120.32000000000001</v>
      </c>
      <c r="H14" s="713">
        <f>G14*30</f>
        <v>3609.6000000000004</v>
      </c>
      <c r="I14" s="33"/>
    </row>
    <row r="15" spans="1:18" s="50" customFormat="1" ht="19.899999999999999" customHeight="1">
      <c r="A15" s="165" t="s">
        <v>674</v>
      </c>
      <c r="B15" s="823">
        <v>79.22</v>
      </c>
      <c r="C15" s="823">
        <v>3.86</v>
      </c>
      <c r="D15" s="823">
        <v>7.72</v>
      </c>
      <c r="E15" s="823">
        <v>7.72</v>
      </c>
      <c r="F15" s="823">
        <v>3.86</v>
      </c>
      <c r="G15" s="665">
        <f>SUM(B15:F15)</f>
        <v>102.38</v>
      </c>
      <c r="H15" s="666">
        <f>G15*30</f>
        <v>3071.3999999999996</v>
      </c>
      <c r="I15" s="33"/>
    </row>
    <row r="16" spans="1:18" s="50" customFormat="1" ht="19.899999999999999" customHeight="1" thickBot="1">
      <c r="A16" s="48" t="s">
        <v>527</v>
      </c>
      <c r="B16" s="823">
        <v>68.53</v>
      </c>
      <c r="C16" s="823">
        <v>6.85</v>
      </c>
      <c r="D16" s="628"/>
      <c r="E16" s="823">
        <v>3.43</v>
      </c>
      <c r="F16" s="823">
        <v>3.43</v>
      </c>
      <c r="G16" s="667">
        <f>SUM(B16:F16)</f>
        <v>82.240000000000009</v>
      </c>
      <c r="H16" s="704">
        <f>G16*30</f>
        <v>2467.2000000000003</v>
      </c>
    </row>
    <row r="17" spans="1:11" s="50" customFormat="1" ht="19.899999999999999" customHeight="1" thickBot="1">
      <c r="A17" s="668"/>
      <c r="B17" s="702"/>
      <c r="C17" s="714"/>
      <c r="D17" s="714"/>
      <c r="E17" s="714"/>
      <c r="F17" s="714"/>
      <c r="G17" s="712"/>
      <c r="H17" s="669"/>
    </row>
    <row r="18" spans="1:11" s="50" customFormat="1" ht="64.900000000000006" customHeight="1" thickBot="1">
      <c r="A18" s="701" t="s">
        <v>256</v>
      </c>
      <c r="B18" s="682" t="s">
        <v>504</v>
      </c>
      <c r="C18" s="719"/>
      <c r="D18" s="719"/>
      <c r="E18" s="719"/>
      <c r="F18" s="719"/>
      <c r="G18" s="711" t="s">
        <v>2</v>
      </c>
      <c r="H18" s="1123" t="s">
        <v>610</v>
      </c>
    </row>
    <row r="19" spans="1:11" s="50" customFormat="1" ht="19.899999999999999" customHeight="1">
      <c r="A19" s="165" t="s">
        <v>383</v>
      </c>
      <c r="B19" s="823">
        <v>30</v>
      </c>
      <c r="C19" s="716"/>
      <c r="D19" s="716"/>
      <c r="E19" s="716"/>
      <c r="F19" s="716"/>
      <c r="G19" s="665">
        <f>B19</f>
        <v>30</v>
      </c>
      <c r="H19" s="708">
        <f>G19*3</f>
        <v>90</v>
      </c>
    </row>
    <row r="20" spans="1:11" s="50" customFormat="1" ht="19.899999999999999" customHeight="1" thickBot="1">
      <c r="A20" s="165" t="s">
        <v>452</v>
      </c>
      <c r="B20" s="824">
        <v>30</v>
      </c>
      <c r="C20" s="717"/>
      <c r="D20" s="717"/>
      <c r="E20" s="717"/>
      <c r="F20" s="717"/>
      <c r="G20" s="670">
        <f>B20</f>
        <v>30</v>
      </c>
      <c r="H20" s="709">
        <f>G20*3</f>
        <v>90</v>
      </c>
    </row>
    <row r="21" spans="1:11" s="50" customFormat="1" ht="19.899999999999999" customHeight="1" thickBot="1">
      <c r="A21" s="671"/>
      <c r="B21" s="702"/>
      <c r="C21" s="668"/>
      <c r="D21" s="668"/>
      <c r="E21" s="668"/>
      <c r="F21" s="668"/>
      <c r="G21" s="712"/>
      <c r="H21" s="669"/>
    </row>
    <row r="22" spans="1:11" s="50" customFormat="1" ht="19.899999999999999" customHeight="1">
      <c r="A22" s="165" t="s">
        <v>388</v>
      </c>
      <c r="B22" s="825">
        <v>0</v>
      </c>
      <c r="C22" s="715"/>
      <c r="D22" s="715"/>
      <c r="E22" s="715"/>
      <c r="F22" s="715"/>
      <c r="G22" s="672">
        <f>B22</f>
        <v>0</v>
      </c>
      <c r="H22" s="710">
        <f>G22*2</f>
        <v>0</v>
      </c>
    </row>
    <row r="23" spans="1:11" s="50" customFormat="1" ht="19.899999999999999" customHeight="1" thickBot="1">
      <c r="A23" s="165" t="s">
        <v>453</v>
      </c>
      <c r="B23" s="826">
        <v>0</v>
      </c>
      <c r="C23" s="717"/>
      <c r="D23" s="717"/>
      <c r="E23" s="717"/>
      <c r="F23" s="717"/>
      <c r="G23" s="673">
        <f>B23</f>
        <v>0</v>
      </c>
      <c r="H23" s="704">
        <f>G23*2</f>
        <v>0</v>
      </c>
      <c r="J23" s="674"/>
      <c r="K23" s="674"/>
    </row>
    <row r="24" spans="1:11" s="50" customFormat="1" ht="25.15" customHeight="1">
      <c r="B24" s="674"/>
      <c r="C24" s="675"/>
      <c r="D24" s="675"/>
      <c r="E24" s="675"/>
      <c r="F24" s="675"/>
      <c r="G24" s="674"/>
      <c r="H24" s="674"/>
      <c r="I24" s="674"/>
      <c r="J24" s="674"/>
      <c r="K24" s="674"/>
    </row>
    <row r="25" spans="1:11" s="50" customFormat="1" ht="25.15" customHeight="1">
      <c r="A25" s="165"/>
      <c r="B25" s="674"/>
      <c r="C25" s="674"/>
      <c r="D25" s="674"/>
      <c r="E25" s="674"/>
      <c r="F25" s="674"/>
      <c r="G25" s="674"/>
      <c r="H25" s="674"/>
      <c r="I25" s="674"/>
      <c r="J25" s="674"/>
      <c r="K25" s="674"/>
    </row>
    <row r="26" spans="1:11" s="50" customFormat="1" ht="19.899999999999999" customHeight="1">
      <c r="B26" s="1075" t="s">
        <v>586</v>
      </c>
      <c r="C26" s="1075"/>
      <c r="D26" s="1075"/>
      <c r="E26" s="1075"/>
      <c r="F26" s="674"/>
      <c r="G26" s="674"/>
      <c r="H26" s="674"/>
      <c r="I26" s="674"/>
      <c r="J26" s="674"/>
      <c r="K26" s="674"/>
    </row>
    <row r="27" spans="1:11" s="50" customFormat="1" ht="19.899999999999999" customHeight="1" thickBot="1">
      <c r="A27" s="664"/>
      <c r="B27" s="1075" t="s">
        <v>537</v>
      </c>
      <c r="C27" s="1075"/>
      <c r="D27" s="1075"/>
      <c r="E27" s="1075"/>
      <c r="F27" s="674"/>
      <c r="G27" s="674"/>
      <c r="H27" s="674"/>
      <c r="I27" s="674"/>
    </row>
    <row r="28" spans="1:11" s="50" customFormat="1" ht="112.15" customHeight="1" thickBot="1">
      <c r="A28" s="663" t="s">
        <v>256</v>
      </c>
      <c r="B28" s="676" t="s">
        <v>7</v>
      </c>
      <c r="C28" s="586" t="s">
        <v>376</v>
      </c>
      <c r="D28" s="586" t="s">
        <v>377</v>
      </c>
      <c r="E28" s="586" t="s">
        <v>455</v>
      </c>
      <c r="F28" s="586" t="s">
        <v>385</v>
      </c>
      <c r="G28" s="1122" t="s">
        <v>386</v>
      </c>
      <c r="H28" s="586" t="s">
        <v>2</v>
      </c>
      <c r="I28" s="1123" t="s">
        <v>609</v>
      </c>
      <c r="J28" s="165"/>
      <c r="K28" s="165"/>
    </row>
    <row r="29" spans="1:11" s="50" customFormat="1" ht="19.899999999999999" customHeight="1">
      <c r="A29" s="664" t="str">
        <f t="shared" ref="A29:B31" si="0">A14</f>
        <v>UPPER LEVEL - BACCALAUREATE</v>
      </c>
      <c r="B29" s="677">
        <f t="shared" si="0"/>
        <v>91.79</v>
      </c>
      <c r="C29" s="827">
        <v>458.64</v>
      </c>
      <c r="D29" s="827">
        <v>4.5</v>
      </c>
      <c r="E29" s="700">
        <f>D14</f>
        <v>9</v>
      </c>
      <c r="F29" s="827">
        <v>54.86</v>
      </c>
      <c r="G29" s="827">
        <v>4.5</v>
      </c>
      <c r="H29" s="678">
        <f>SUM(B29:G29)</f>
        <v>623.29</v>
      </c>
      <c r="I29" s="703">
        <f>H29*30</f>
        <v>18698.699999999997</v>
      </c>
      <c r="J29" s="33"/>
    </row>
    <row r="30" spans="1:11" s="50" customFormat="1" ht="19.899999999999999" customHeight="1">
      <c r="A30" s="165" t="str">
        <f t="shared" si="0"/>
        <v>LOWER LEVEL - CREDIT (A &amp; P, PSV, DEVELOPMENTAL EDUCATION AND EPI)</v>
      </c>
      <c r="B30" s="787">
        <f t="shared" si="0"/>
        <v>79.22</v>
      </c>
      <c r="C30" s="827">
        <v>231.96</v>
      </c>
      <c r="D30" s="827">
        <v>15.46</v>
      </c>
      <c r="E30" s="679">
        <f>D15</f>
        <v>7.72</v>
      </c>
      <c r="F30" s="827">
        <v>48.83</v>
      </c>
      <c r="G30" s="827">
        <v>15.46</v>
      </c>
      <c r="H30" s="665">
        <f>SUM(B30:G30)</f>
        <v>398.65</v>
      </c>
      <c r="I30" s="666">
        <f>H30*30</f>
        <v>11959.5</v>
      </c>
    </row>
    <row r="31" spans="1:11" s="50" customFormat="1" ht="19.899999999999999" customHeight="1" thickBot="1">
      <c r="A31" s="165" t="str">
        <f t="shared" si="0"/>
        <v>CAREER CERTIFICATE AND APPLIED TECHNOLOGY DIPLOMA</v>
      </c>
      <c r="B31" s="786">
        <f t="shared" si="0"/>
        <v>68.53</v>
      </c>
      <c r="C31" s="827">
        <v>207.56</v>
      </c>
      <c r="D31" s="827">
        <v>27.41</v>
      </c>
      <c r="E31" s="628"/>
      <c r="F31" s="827">
        <v>11.75</v>
      </c>
      <c r="G31" s="827">
        <v>13.71</v>
      </c>
      <c r="H31" s="667">
        <f>SUM(B31:G31)</f>
        <v>328.96000000000004</v>
      </c>
      <c r="I31" s="704">
        <f>H31*30</f>
        <v>9868.8000000000011</v>
      </c>
    </row>
    <row r="32" spans="1:11" s="50" customFormat="1" ht="19.899999999999999" customHeight="1" thickBot="1">
      <c r="A32" s="671"/>
      <c r="B32" s="668"/>
      <c r="C32" s="668"/>
      <c r="D32" s="668"/>
      <c r="E32" s="668"/>
      <c r="F32" s="668"/>
      <c r="G32" s="668"/>
      <c r="H32" s="668"/>
      <c r="I32" s="680"/>
    </row>
    <row r="33" spans="1:11" s="50" customFormat="1" ht="64.900000000000006" customHeight="1" thickBot="1">
      <c r="A33" s="681" t="s">
        <v>256</v>
      </c>
      <c r="B33" s="682" t="s">
        <v>504</v>
      </c>
      <c r="C33" s="718"/>
      <c r="D33" s="718"/>
      <c r="E33" s="718"/>
      <c r="F33" s="718"/>
      <c r="G33" s="718"/>
      <c r="H33" s="586" t="s">
        <v>2</v>
      </c>
      <c r="I33" s="1123" t="s">
        <v>610</v>
      </c>
      <c r="J33" s="33"/>
      <c r="K33" s="33"/>
    </row>
    <row r="34" spans="1:11" s="50" customFormat="1" ht="19.899999999999999" customHeight="1">
      <c r="A34" s="48" t="str">
        <f>A19</f>
        <v>VOCATIONAL PREPARATORY (PER TERM)</v>
      </c>
      <c r="B34" s="683">
        <f>B19</f>
        <v>30</v>
      </c>
      <c r="C34" s="716"/>
      <c r="D34" s="716"/>
      <c r="E34" s="716"/>
      <c r="F34" s="716"/>
      <c r="G34" s="716"/>
      <c r="H34" s="684">
        <f>B34</f>
        <v>30</v>
      </c>
      <c r="I34" s="705">
        <f>H34*3</f>
        <v>90</v>
      </c>
      <c r="J34" s="685"/>
      <c r="K34" s="685"/>
    </row>
    <row r="35" spans="1:11" s="50" customFormat="1" ht="19.899999999999999" customHeight="1" thickBot="1">
      <c r="A35" s="48" t="str">
        <f>A20</f>
        <v>ADULT GENERAL EDUCATION AND SECONDARY (PER TERM)</v>
      </c>
      <c r="B35" s="686">
        <f>B20</f>
        <v>30</v>
      </c>
      <c r="C35" s="717"/>
      <c r="D35" s="717"/>
      <c r="E35" s="717"/>
      <c r="F35" s="717"/>
      <c r="G35" s="717"/>
      <c r="H35" s="687">
        <f>B35</f>
        <v>30</v>
      </c>
      <c r="I35" s="706">
        <f>H35*3</f>
        <v>90</v>
      </c>
      <c r="J35" s="33"/>
      <c r="K35" s="33"/>
    </row>
    <row r="36" spans="1:11" s="50" customFormat="1" ht="19.899999999999999" customHeight="1" thickBot="1">
      <c r="A36" s="671"/>
      <c r="B36" s="843"/>
      <c r="C36" s="668"/>
      <c r="D36" s="668"/>
      <c r="E36" s="668"/>
      <c r="F36" s="668"/>
      <c r="G36" s="668"/>
      <c r="H36" s="843"/>
      <c r="I36" s="844"/>
      <c r="J36" s="33"/>
      <c r="K36" s="33"/>
    </row>
    <row r="37" spans="1:11" s="50" customFormat="1" ht="19.899999999999999" customHeight="1">
      <c r="A37" s="48" t="str">
        <f>A22</f>
        <v>VOCATIONAL PREPARATORY (PER HALF YEAR)</v>
      </c>
      <c r="B37" s="683">
        <f>B22</f>
        <v>0</v>
      </c>
      <c r="C37" s="715"/>
      <c r="D37" s="715"/>
      <c r="E37" s="715"/>
      <c r="F37" s="715"/>
      <c r="G37" s="715"/>
      <c r="H37" s="678">
        <f>B37</f>
        <v>0</v>
      </c>
      <c r="I37" s="703">
        <f>H37*2</f>
        <v>0</v>
      </c>
      <c r="J37" s="33"/>
      <c r="K37" s="33"/>
    </row>
    <row r="38" spans="1:11" s="50" customFormat="1" ht="19.899999999999999" customHeight="1" thickBot="1">
      <c r="A38" s="48" t="str">
        <f>A23</f>
        <v>ADULT GENERAL EDUCATION AND SECONDARY (PER HALF YEAR)</v>
      </c>
      <c r="B38" s="686">
        <f>B23</f>
        <v>0</v>
      </c>
      <c r="C38" s="717"/>
      <c r="D38" s="717"/>
      <c r="E38" s="717"/>
      <c r="F38" s="717"/>
      <c r="G38" s="717"/>
      <c r="H38" s="688">
        <f>B38</f>
        <v>0</v>
      </c>
      <c r="I38" s="707">
        <f>H38*2</f>
        <v>0</v>
      </c>
      <c r="J38" s="33"/>
      <c r="K38" s="33"/>
    </row>
    <row r="39" spans="1:11" s="50" customFormat="1" ht="19.899999999999999" customHeight="1">
      <c r="A39" s="48"/>
      <c r="B39" s="689" t="s">
        <v>268</v>
      </c>
      <c r="C39" s="33"/>
      <c r="D39" s="33"/>
      <c r="E39" s="33"/>
      <c r="F39" s="33"/>
      <c r="G39" s="33"/>
      <c r="H39" s="33"/>
      <c r="I39" s="33"/>
      <c r="J39" s="33"/>
      <c r="K39" s="33"/>
    </row>
    <row r="40" spans="1:11" ht="35.450000000000003" customHeight="1">
      <c r="A40" s="318"/>
      <c r="B40" s="1301" t="s">
        <v>746</v>
      </c>
      <c r="C40" s="1301"/>
      <c r="D40" s="1301"/>
      <c r="E40" s="1301"/>
      <c r="F40" s="1301"/>
      <c r="G40" s="1301"/>
      <c r="H40" s="1301"/>
      <c r="I40" s="1301"/>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7+Y0oNxQ6zbwf/UXtASW+E3E99NV8P/I3O6QEYg+Pc8MU37P+rYODAiaxcoUtkOQJ2Dx7+dbhwTii652k++R6w==" saltValue="ccYQ5mwIoYV60SGKv3xUeA=="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L147"/>
  <sheetViews>
    <sheetView showGridLines="0" zoomScale="60" zoomScaleNormal="60" zoomScaleSheetLayoutView="50" workbookViewId="0">
      <selection activeCell="F65" sqref="F65"/>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303" t="s">
        <v>259</v>
      </c>
      <c r="B2" s="1303"/>
      <c r="C2" s="1303"/>
      <c r="D2" s="1303"/>
      <c r="E2" s="1303"/>
      <c r="F2" s="1303"/>
      <c r="G2" s="1120"/>
      <c r="H2" s="1120"/>
      <c r="I2" s="317"/>
    </row>
    <row r="3" spans="1:10" ht="19.899999999999999" customHeight="1">
      <c r="A3" s="1303" t="s">
        <v>734</v>
      </c>
      <c r="B3" s="1303"/>
      <c r="C3" s="1303"/>
      <c r="D3" s="1303"/>
      <c r="E3" s="1303"/>
      <c r="F3" s="1303"/>
      <c r="G3" s="1120"/>
      <c r="H3" s="1120"/>
    </row>
    <row r="4" spans="1:10" ht="19.899999999999999" customHeight="1">
      <c r="A4" s="649"/>
      <c r="B4" s="649"/>
      <c r="C4" s="649"/>
      <c r="D4" s="649"/>
      <c r="E4" s="649"/>
      <c r="F4" s="649"/>
      <c r="G4" s="645"/>
      <c r="H4" s="547"/>
    </row>
    <row r="5" spans="1:10" ht="27.6" customHeight="1" thickBot="1">
      <c r="A5" s="648" t="s">
        <v>233</v>
      </c>
      <c r="B5" s="1121" t="str">
        <f>'CHECK SHEET'!D7</f>
        <v>Daytona State College</v>
      </c>
      <c r="C5" s="1121"/>
      <c r="D5" s="1121"/>
      <c r="E5" s="1121"/>
      <c r="F5" s="1121"/>
      <c r="G5" s="1302"/>
      <c r="H5" s="1302"/>
    </row>
    <row r="6" spans="1:10" ht="19.899999999999999" customHeight="1">
      <c r="A6" s="645"/>
      <c r="B6" s="645"/>
      <c r="C6" s="645"/>
      <c r="D6" s="645"/>
      <c r="E6" s="645"/>
      <c r="F6" s="645"/>
      <c r="G6" s="1302"/>
      <c r="H6" s="1302"/>
    </row>
    <row r="7" spans="1:10" ht="19.899999999999999" customHeight="1">
      <c r="A7" s="1117" t="s">
        <v>672</v>
      </c>
      <c r="B7" s="1117"/>
      <c r="C7" s="1117"/>
      <c r="D7" s="1117"/>
      <c r="E7" s="1117"/>
      <c r="F7" s="1117"/>
      <c r="G7" s="1117"/>
      <c r="H7" s="1117"/>
    </row>
    <row r="8" spans="1:10" ht="19.899999999999999" customHeight="1" thickBot="1">
      <c r="C8" s="48"/>
    </row>
    <row r="9" spans="1:10" ht="75" customHeight="1" thickBot="1">
      <c r="A9" s="548" t="s">
        <v>539</v>
      </c>
      <c r="B9" s="548" t="s">
        <v>25</v>
      </c>
      <c r="C9" s="562" t="s">
        <v>560</v>
      </c>
      <c r="D9" s="562" t="s">
        <v>561</v>
      </c>
      <c r="E9" s="562" t="s">
        <v>677</v>
      </c>
      <c r="F9" s="562" t="s">
        <v>528</v>
      </c>
      <c r="G9" s="562" t="s">
        <v>562</v>
      </c>
      <c r="H9" s="563" t="s">
        <v>563</v>
      </c>
      <c r="I9" s="632"/>
      <c r="J9" s="213"/>
    </row>
    <row r="10" spans="1:10" ht="19.899999999999999" customHeight="1">
      <c r="A10" s="564" t="s">
        <v>7</v>
      </c>
      <c r="B10" s="565" t="s">
        <v>436</v>
      </c>
      <c r="C10" s="566">
        <v>40101</v>
      </c>
      <c r="D10" s="828">
        <v>26244</v>
      </c>
      <c r="E10" s="829">
        <v>79</v>
      </c>
      <c r="F10" s="567">
        <f t="shared" ref="F10:F15" si="0">+D10-E10</f>
        <v>26165</v>
      </c>
      <c r="G10" s="567">
        <f>'EXHIBIT B'!B14</f>
        <v>91.79</v>
      </c>
      <c r="H10" s="568">
        <f>ROUND(+F10*G10,0)</f>
        <v>2401685</v>
      </c>
      <c r="I10" s="213"/>
      <c r="J10" s="213"/>
    </row>
    <row r="11" spans="1:10" ht="19.899999999999999" customHeight="1">
      <c r="A11" s="569" t="s">
        <v>7</v>
      </c>
      <c r="B11" s="569" t="s">
        <v>338</v>
      </c>
      <c r="C11" s="570" t="s">
        <v>26</v>
      </c>
      <c r="D11" s="828">
        <v>173557</v>
      </c>
      <c r="E11" s="828">
        <v>26240</v>
      </c>
      <c r="F11" s="571">
        <f t="shared" si="0"/>
        <v>147317</v>
      </c>
      <c r="G11" s="571">
        <f>+'EXHIBIT B'!B15</f>
        <v>79.22</v>
      </c>
      <c r="H11" s="572">
        <f t="shared" ref="H11:H15" si="1">ROUND(+F11*G11,0)</f>
        <v>11670453</v>
      </c>
      <c r="I11" s="213"/>
      <c r="J11" s="213"/>
    </row>
    <row r="12" spans="1:10" ht="19.899999999999999" customHeight="1">
      <c r="A12" s="569" t="s">
        <v>7</v>
      </c>
      <c r="B12" s="569" t="s">
        <v>27</v>
      </c>
      <c r="C12" s="570" t="s">
        <v>28</v>
      </c>
      <c r="D12" s="830">
        <v>57720</v>
      </c>
      <c r="E12" s="830">
        <v>658</v>
      </c>
      <c r="F12" s="571">
        <f t="shared" si="0"/>
        <v>57062</v>
      </c>
      <c r="G12" s="571">
        <f>+'EXHIBIT B'!B15</f>
        <v>79.22</v>
      </c>
      <c r="H12" s="572">
        <f t="shared" si="1"/>
        <v>4520452</v>
      </c>
      <c r="I12" s="213"/>
      <c r="J12" s="213"/>
    </row>
    <row r="13" spans="1:10" ht="19.899999999999999" customHeight="1">
      <c r="A13" s="569" t="s">
        <v>7</v>
      </c>
      <c r="B13" s="569" t="s">
        <v>527</v>
      </c>
      <c r="C13" s="570" t="s">
        <v>29</v>
      </c>
      <c r="D13" s="831">
        <v>19689</v>
      </c>
      <c r="E13" s="831">
        <v>2048</v>
      </c>
      <c r="F13" s="571">
        <f t="shared" si="0"/>
        <v>17641</v>
      </c>
      <c r="G13" s="571">
        <f>+'EXHIBIT B'!B16</f>
        <v>68.53</v>
      </c>
      <c r="H13" s="572">
        <f t="shared" si="1"/>
        <v>1208938</v>
      </c>
      <c r="I13" s="213"/>
      <c r="J13" s="213"/>
    </row>
    <row r="14" spans="1:10" ht="19.899999999999999" customHeight="1">
      <c r="A14" s="569" t="s">
        <v>7</v>
      </c>
      <c r="B14" s="569" t="s">
        <v>462</v>
      </c>
      <c r="C14" s="570" t="s">
        <v>30</v>
      </c>
      <c r="D14" s="828">
        <v>6007</v>
      </c>
      <c r="E14" s="828">
        <v>59</v>
      </c>
      <c r="F14" s="571">
        <f t="shared" si="0"/>
        <v>5948</v>
      </c>
      <c r="G14" s="571">
        <f>+'EXHIBIT B'!B15</f>
        <v>79.22</v>
      </c>
      <c r="H14" s="572">
        <f t="shared" si="1"/>
        <v>471201</v>
      </c>
      <c r="I14" s="213"/>
      <c r="J14" s="213"/>
    </row>
    <row r="15" spans="1:10" ht="19.899999999999999" customHeight="1" thickBot="1">
      <c r="A15" s="573" t="s">
        <v>7</v>
      </c>
      <c r="B15" s="573" t="s">
        <v>246</v>
      </c>
      <c r="C15" s="574">
        <v>40160</v>
      </c>
      <c r="D15" s="832">
        <v>34</v>
      </c>
      <c r="E15" s="832">
        <v>0</v>
      </c>
      <c r="F15" s="575">
        <f t="shared" si="0"/>
        <v>34</v>
      </c>
      <c r="G15" s="575">
        <f>+'EXHIBIT B'!B15</f>
        <v>79.22</v>
      </c>
      <c r="H15" s="576">
        <f t="shared" si="1"/>
        <v>2693</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283251</v>
      </c>
      <c r="E17" s="583">
        <f>SUM(E10:E15)</f>
        <v>29084</v>
      </c>
      <c r="F17" s="584">
        <f>SUM(F10:F15)</f>
        <v>254167</v>
      </c>
      <c r="G17" s="584"/>
      <c r="H17" s="585">
        <f>SUM(H10:H15)</f>
        <v>20275422</v>
      </c>
      <c r="I17" s="213"/>
      <c r="J17" s="213"/>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3">
        <v>510</v>
      </c>
      <c r="E19" s="589">
        <f>'EXHIBIT B'!C29</f>
        <v>458.64</v>
      </c>
      <c r="F19" s="590">
        <f t="shared" ref="F19:F24" si="2">ROUND(+D19*E19,0)</f>
        <v>233906</v>
      </c>
      <c r="G19" s="591"/>
      <c r="H19" s="591"/>
    </row>
    <row r="20" spans="1:10" ht="19.899999999999999" customHeight="1">
      <c r="A20" s="592" t="s">
        <v>376</v>
      </c>
      <c r="B20" s="592" t="s">
        <v>338</v>
      </c>
      <c r="C20" s="593" t="s">
        <v>34</v>
      </c>
      <c r="D20" s="834">
        <v>11937</v>
      </c>
      <c r="E20" s="594">
        <f>+'EXHIBIT B'!C30</f>
        <v>231.96</v>
      </c>
      <c r="F20" s="595">
        <f t="shared" si="2"/>
        <v>2768907</v>
      </c>
      <c r="G20" s="596"/>
      <c r="H20" s="596"/>
    </row>
    <row r="21" spans="1:10" ht="19.899999999999999" customHeight="1">
      <c r="A21" s="592" t="s">
        <v>376</v>
      </c>
      <c r="B21" s="592" t="s">
        <v>27</v>
      </c>
      <c r="C21" s="593" t="s">
        <v>35</v>
      </c>
      <c r="D21" s="834">
        <v>2414</v>
      </c>
      <c r="E21" s="594">
        <f>+'EXHIBIT B'!C30</f>
        <v>231.96</v>
      </c>
      <c r="F21" s="595">
        <f t="shared" si="2"/>
        <v>559951</v>
      </c>
      <c r="G21" s="596"/>
      <c r="H21" s="596"/>
    </row>
    <row r="22" spans="1:10" ht="19.899999999999999" customHeight="1">
      <c r="A22" s="592" t="s">
        <v>376</v>
      </c>
      <c r="B22" s="592" t="s">
        <v>527</v>
      </c>
      <c r="C22" s="593" t="s">
        <v>36</v>
      </c>
      <c r="D22" s="834">
        <v>584</v>
      </c>
      <c r="E22" s="594">
        <f>+'EXHIBIT B'!C31</f>
        <v>207.56</v>
      </c>
      <c r="F22" s="595">
        <f t="shared" si="2"/>
        <v>121215</v>
      </c>
      <c r="G22" s="596"/>
      <c r="H22" s="596"/>
    </row>
    <row r="23" spans="1:10" ht="19.899999999999999" customHeight="1">
      <c r="A23" s="592" t="s">
        <v>376</v>
      </c>
      <c r="B23" s="592" t="s">
        <v>462</v>
      </c>
      <c r="C23" s="593" t="s">
        <v>37</v>
      </c>
      <c r="D23" s="834">
        <v>478</v>
      </c>
      <c r="E23" s="594">
        <f>+'EXHIBIT B'!C30</f>
        <v>231.96</v>
      </c>
      <c r="F23" s="595">
        <f t="shared" si="2"/>
        <v>110877</v>
      </c>
      <c r="G23" s="596"/>
      <c r="H23" s="596"/>
    </row>
    <row r="24" spans="1:10" ht="19.899999999999999" customHeight="1" thickBot="1">
      <c r="A24" s="597" t="s">
        <v>376</v>
      </c>
      <c r="B24" s="597" t="s">
        <v>246</v>
      </c>
      <c r="C24" s="598">
        <v>40360</v>
      </c>
      <c r="D24" s="835">
        <v>0</v>
      </c>
      <c r="E24" s="599">
        <f>+'EXHIBIT B'!C30</f>
        <v>231.96</v>
      </c>
      <c r="F24" s="600">
        <f t="shared" si="2"/>
        <v>0</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15923</v>
      </c>
      <c r="E26" s="606"/>
      <c r="F26" s="607">
        <f>SUM(F19:F24)</f>
        <v>3794856</v>
      </c>
      <c r="G26" s="608"/>
      <c r="H26" s="608"/>
    </row>
    <row r="27" spans="1:10" ht="19.899999999999999" customHeight="1" thickBot="1">
      <c r="A27" s="609" t="s">
        <v>565</v>
      </c>
      <c r="B27" s="609"/>
      <c r="C27" s="609"/>
      <c r="D27" s="609"/>
      <c r="E27" s="609"/>
      <c r="F27" s="610"/>
      <c r="G27" s="611"/>
      <c r="H27" s="612">
        <f>H17+F26</f>
        <v>24070278</v>
      </c>
    </row>
    <row r="28" spans="1:10" ht="24.95" customHeight="1">
      <c r="I28" s="302"/>
    </row>
    <row r="29" spans="1:10" ht="24.95" customHeight="1">
      <c r="A29" s="1117" t="s">
        <v>673</v>
      </c>
      <c r="B29" s="1117"/>
      <c r="C29" s="1117"/>
      <c r="D29" s="1117"/>
      <c r="E29" s="1117"/>
      <c r="F29" s="1117"/>
      <c r="G29" s="1117"/>
      <c r="H29" s="1117"/>
      <c r="I29" s="302"/>
    </row>
    <row r="30" spans="1:10" ht="24.95" customHeight="1" thickBot="1">
      <c r="A30" s="29"/>
      <c r="B30" s="29"/>
      <c r="C30" s="29"/>
      <c r="D30" s="29"/>
      <c r="E30" s="29"/>
      <c r="F30" s="29"/>
      <c r="G30" s="29"/>
      <c r="H30" s="29"/>
      <c r="I30" s="302"/>
    </row>
    <row r="31" spans="1:10" ht="88.15" customHeight="1" thickBot="1">
      <c r="A31" s="586" t="s">
        <v>541</v>
      </c>
      <c r="B31" s="613" t="s">
        <v>25</v>
      </c>
      <c r="C31" s="586" t="s">
        <v>560</v>
      </c>
      <c r="D31" s="586" t="s">
        <v>566</v>
      </c>
      <c r="E31" s="586" t="s">
        <v>389</v>
      </c>
      <c r="F31" s="586" t="s">
        <v>528</v>
      </c>
      <c r="G31" s="586" t="s">
        <v>567</v>
      </c>
      <c r="H31" s="1123" t="s">
        <v>563</v>
      </c>
      <c r="I31" s="302"/>
    </row>
    <row r="32" spans="1:10" ht="19.899999999999999" customHeight="1">
      <c r="A32" s="614" t="s">
        <v>381</v>
      </c>
      <c r="B32" s="614" t="s">
        <v>31</v>
      </c>
      <c r="C32" s="615" t="s">
        <v>32</v>
      </c>
      <c r="D32" s="836">
        <v>0</v>
      </c>
      <c r="E32" s="836">
        <v>0</v>
      </c>
      <c r="F32" s="616">
        <f>D32-E32</f>
        <v>0</v>
      </c>
      <c r="G32" s="616">
        <f>'EXHIBIT B'!B19</f>
        <v>30</v>
      </c>
      <c r="H32" s="617">
        <f>ROUND(+F32*G32,0)</f>
        <v>0</v>
      </c>
    </row>
    <row r="33" spans="1:12" ht="19.899999999999999" customHeight="1">
      <c r="A33" s="592" t="s">
        <v>381</v>
      </c>
      <c r="B33" s="592" t="s">
        <v>454</v>
      </c>
      <c r="C33" s="593" t="s">
        <v>33</v>
      </c>
      <c r="D33" s="837">
        <v>4008</v>
      </c>
      <c r="E33" s="837">
        <v>0</v>
      </c>
      <c r="F33" s="594">
        <f>D33-E33</f>
        <v>4008</v>
      </c>
      <c r="G33" s="594">
        <f>'EXHIBIT B'!B20</f>
        <v>30</v>
      </c>
      <c r="H33" s="595">
        <f>ROUND(+F33*G33,0)</f>
        <v>120240</v>
      </c>
    </row>
    <row r="34" spans="1:12" ht="19.899999999999999" customHeight="1">
      <c r="A34" s="592" t="s">
        <v>382</v>
      </c>
      <c r="B34" s="592" t="s">
        <v>31</v>
      </c>
      <c r="C34" s="593">
        <v>40180</v>
      </c>
      <c r="D34" s="837">
        <v>0</v>
      </c>
      <c r="E34" s="837">
        <v>0</v>
      </c>
      <c r="F34" s="594">
        <f>D34-E34</f>
        <v>0</v>
      </c>
      <c r="G34" s="594">
        <f>'EXHIBIT B'!B22</f>
        <v>0</v>
      </c>
      <c r="H34" s="595">
        <f>ROUND(+F34*G34,0)</f>
        <v>0</v>
      </c>
    </row>
    <row r="35" spans="1:12" ht="19.899999999999999" customHeight="1" thickBot="1">
      <c r="A35" s="618" t="s">
        <v>382</v>
      </c>
      <c r="B35" s="618" t="s">
        <v>454</v>
      </c>
      <c r="C35" s="619">
        <v>40190</v>
      </c>
      <c r="D35" s="838">
        <v>0</v>
      </c>
      <c r="E35" s="838">
        <v>0</v>
      </c>
      <c r="F35" s="620">
        <f>D35-E35</f>
        <v>0</v>
      </c>
      <c r="G35" s="621">
        <f>'EXHIBIT B'!B23</f>
        <v>0</v>
      </c>
      <c r="H35" s="622">
        <f>ROUND(+F35*G35,0)</f>
        <v>0</v>
      </c>
    </row>
    <row r="36" spans="1:12" ht="19.899999999999999" customHeight="1" thickBot="1">
      <c r="A36" s="623"/>
      <c r="B36" s="556" t="s">
        <v>400</v>
      </c>
      <c r="C36" s="556"/>
      <c r="D36" s="624">
        <f>SUM(D32:D35)</f>
        <v>4008</v>
      </c>
      <c r="E36" s="624">
        <f>SUM(E32:E35)</f>
        <v>0</v>
      </c>
      <c r="F36" s="625">
        <f>D36-E36</f>
        <v>4008</v>
      </c>
      <c r="G36" s="625"/>
      <c r="H36" s="626">
        <f>SUM(H32:H35)</f>
        <v>120240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6">
        <v>0</v>
      </c>
      <c r="E39" s="616">
        <f>'EXHIBIT B'!B34</f>
        <v>30</v>
      </c>
      <c r="F39" s="617">
        <f>D39*E39</f>
        <v>0</v>
      </c>
      <c r="G39" s="213"/>
      <c r="H39" s="213"/>
    </row>
    <row r="40" spans="1:12" ht="19.899999999999999" customHeight="1">
      <c r="A40" s="592" t="s">
        <v>381</v>
      </c>
      <c r="B40" s="592" t="s">
        <v>454</v>
      </c>
      <c r="C40" s="593">
        <v>40390</v>
      </c>
      <c r="D40" s="837">
        <v>0</v>
      </c>
      <c r="E40" s="594">
        <f>'EXHIBIT B'!B35</f>
        <v>30</v>
      </c>
      <c r="F40" s="595">
        <f>D40*E40</f>
        <v>0</v>
      </c>
      <c r="G40" s="35"/>
      <c r="H40" s="35"/>
    </row>
    <row r="41" spans="1:12" ht="19.899999999999999" customHeight="1">
      <c r="A41" s="592" t="s">
        <v>382</v>
      </c>
      <c r="B41" s="592" t="s">
        <v>31</v>
      </c>
      <c r="C41" s="593" t="s">
        <v>38</v>
      </c>
      <c r="D41" s="837">
        <v>0</v>
      </c>
      <c r="E41" s="594">
        <f>'EXHIBIT B'!B37</f>
        <v>0</v>
      </c>
      <c r="F41" s="595">
        <f>D41*E41</f>
        <v>0</v>
      </c>
      <c r="G41" s="35"/>
      <c r="H41" s="35"/>
    </row>
    <row r="42" spans="1:12" ht="19.899999999999999" customHeight="1" thickBot="1">
      <c r="A42" s="633" t="s">
        <v>382</v>
      </c>
      <c r="B42" s="633" t="s">
        <v>454</v>
      </c>
      <c r="C42" s="634" t="s">
        <v>39</v>
      </c>
      <c r="D42" s="839">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3"/>
      <c r="H43" s="213"/>
    </row>
    <row r="44" spans="1:12" ht="19.899999999999999" customHeight="1" thickBot="1">
      <c r="A44" s="640" t="s">
        <v>538</v>
      </c>
      <c r="B44" s="641"/>
      <c r="C44" s="641"/>
      <c r="D44" s="641"/>
      <c r="E44" s="641"/>
      <c r="F44" s="641"/>
      <c r="G44" s="642"/>
      <c r="H44" s="643">
        <f>H36+F43</f>
        <v>120240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61">
        <f>H27+H44</f>
        <v>24190518</v>
      </c>
      <c r="K46" s="28"/>
      <c r="L46" s="28"/>
    </row>
    <row r="47" spans="1:12" ht="24.75" customHeight="1">
      <c r="A47" s="1124"/>
      <c r="B47" s="1124"/>
      <c r="C47" s="1124"/>
      <c r="D47" s="1124"/>
      <c r="E47" s="1124"/>
      <c r="F47" s="1124"/>
      <c r="G47" s="646"/>
      <c r="H47" s="646"/>
      <c r="K47" s="28"/>
      <c r="L47" s="28"/>
    </row>
    <row r="48" spans="1:12" ht="24.95" customHeight="1">
      <c r="A48" s="1075" t="s">
        <v>387</v>
      </c>
      <c r="B48" s="29"/>
      <c r="C48" s="29"/>
      <c r="D48" s="29"/>
      <c r="E48" s="29"/>
      <c r="F48" s="29"/>
      <c r="G48" s="29"/>
      <c r="H48" s="544" t="s">
        <v>23</v>
      </c>
    </row>
    <row r="49" spans="1:10" ht="24.95" customHeight="1">
      <c r="A49" s="1075"/>
      <c r="B49" s="29"/>
      <c r="C49" s="29"/>
      <c r="D49" s="29"/>
      <c r="E49" s="29"/>
      <c r="F49" s="29"/>
      <c r="G49" s="29"/>
    </row>
    <row r="50" spans="1:10" ht="43.15" customHeight="1" thickBot="1">
      <c r="A50" s="1304" t="s">
        <v>605</v>
      </c>
      <c r="B50" s="1304"/>
      <c r="C50" s="29"/>
      <c r="D50" s="29"/>
      <c r="E50" s="29"/>
      <c r="F50" s="29"/>
      <c r="G50" s="29"/>
      <c r="H50" s="29"/>
    </row>
    <row r="51" spans="1:10" ht="44.45" customHeight="1" thickBot="1">
      <c r="A51" s="548" t="s">
        <v>505</v>
      </c>
      <c r="B51" s="548" t="s">
        <v>41</v>
      </c>
      <c r="C51" s="1305" t="s">
        <v>568</v>
      </c>
      <c r="D51" s="1306"/>
      <c r="E51" s="1305" t="s">
        <v>569</v>
      </c>
      <c r="F51" s="1306"/>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72" t="s">
        <v>785</v>
      </c>
      <c r="B54" s="840">
        <v>675000</v>
      </c>
      <c r="C54" s="1313">
        <v>1</v>
      </c>
      <c r="D54" s="1307"/>
      <c r="E54" s="1313">
        <v>2</v>
      </c>
      <c r="F54" s="1307"/>
    </row>
    <row r="55" spans="1:10" ht="24.95" customHeight="1">
      <c r="A55" s="872"/>
      <c r="B55" s="840">
        <v>0</v>
      </c>
      <c r="C55" s="1314"/>
      <c r="D55" s="1307"/>
      <c r="E55" s="1314"/>
      <c r="F55" s="1307"/>
      <c r="J55" s="162"/>
    </row>
    <row r="56" spans="1:10" ht="24.95" customHeight="1">
      <c r="A56" s="872"/>
      <c r="B56" s="840">
        <v>0</v>
      </c>
      <c r="C56" s="1314"/>
      <c r="D56" s="1307"/>
      <c r="E56" s="1314"/>
      <c r="F56" s="1307"/>
      <c r="I56" s="213"/>
    </row>
    <row r="57" spans="1:10" ht="24.95" customHeight="1">
      <c r="A57" s="872"/>
      <c r="B57" s="840">
        <v>0</v>
      </c>
      <c r="C57" s="1314"/>
      <c r="D57" s="1307"/>
      <c r="E57" s="1314"/>
      <c r="F57" s="1307"/>
      <c r="I57" s="213"/>
    </row>
    <row r="58" spans="1:10" ht="24.95" customHeight="1">
      <c r="A58" s="872"/>
      <c r="B58" s="840">
        <v>0</v>
      </c>
      <c r="C58" s="1314"/>
      <c r="D58" s="1307"/>
      <c r="E58" s="1314"/>
      <c r="F58" s="1307"/>
      <c r="I58" s="213"/>
    </row>
    <row r="59" spans="1:10" ht="24.95" customHeight="1" thickBot="1">
      <c r="A59" s="873"/>
      <c r="B59" s="841">
        <v>0</v>
      </c>
      <c r="C59" s="1315"/>
      <c r="D59" s="1308"/>
      <c r="E59" s="1315"/>
      <c r="F59" s="1308"/>
      <c r="I59" s="213"/>
      <c r="J59" s="164"/>
    </row>
    <row r="60" spans="1:10" ht="24.95" customHeight="1" thickBot="1">
      <c r="A60" s="556" t="s">
        <v>247</v>
      </c>
      <c r="B60" s="557">
        <f>SUM(B54:B59)</f>
        <v>675000</v>
      </c>
      <c r="C60" s="1316"/>
      <c r="D60" s="1309"/>
      <c r="E60" s="1316"/>
      <c r="F60" s="1309"/>
      <c r="I60" s="647"/>
    </row>
    <row r="61" spans="1:10" ht="24.95" customHeight="1" thickBot="1">
      <c r="A61" s="558"/>
      <c r="B61" s="558"/>
      <c r="C61" s="559"/>
      <c r="D61" s="560"/>
      <c r="E61" s="559"/>
      <c r="F61" s="560"/>
      <c r="I61" s="213"/>
    </row>
    <row r="62" spans="1:10" ht="24.95" customHeight="1" thickBot="1">
      <c r="A62" s="561" t="s">
        <v>43</v>
      </c>
      <c r="B62" s="553"/>
      <c r="C62" s="554"/>
      <c r="D62" s="555"/>
      <c r="E62" s="554"/>
      <c r="F62" s="555"/>
      <c r="I62" s="213"/>
    </row>
    <row r="63" spans="1:10" ht="24.95" customHeight="1">
      <c r="A63" s="874" t="s">
        <v>786</v>
      </c>
      <c r="B63" s="842">
        <v>650000</v>
      </c>
      <c r="C63" s="1313">
        <v>3</v>
      </c>
      <c r="D63" s="1310"/>
      <c r="E63" s="1313">
        <v>1</v>
      </c>
      <c r="F63" s="1310"/>
      <c r="I63" s="213"/>
    </row>
    <row r="64" spans="1:10" ht="24.95" customHeight="1">
      <c r="A64" s="872"/>
      <c r="B64" s="834">
        <v>0</v>
      </c>
      <c r="C64" s="1314"/>
      <c r="D64" s="1307"/>
      <c r="E64" s="1314"/>
      <c r="F64" s="1307"/>
      <c r="I64" s="213"/>
    </row>
    <row r="65" spans="1:9" ht="24.95" customHeight="1">
      <c r="A65" s="872"/>
      <c r="B65" s="840">
        <v>0</v>
      </c>
      <c r="C65" s="1314"/>
      <c r="D65" s="1307"/>
      <c r="E65" s="1314"/>
      <c r="F65" s="1307"/>
      <c r="I65" s="213"/>
    </row>
    <row r="66" spans="1:9" ht="24.95" customHeight="1">
      <c r="A66" s="872"/>
      <c r="B66" s="840">
        <v>0</v>
      </c>
      <c r="C66" s="1314"/>
      <c r="D66" s="1307"/>
      <c r="E66" s="1314"/>
      <c r="F66" s="1307"/>
      <c r="I66" s="213"/>
    </row>
    <row r="67" spans="1:9" ht="24.95" customHeight="1">
      <c r="A67" s="872"/>
      <c r="B67" s="840">
        <v>0</v>
      </c>
      <c r="C67" s="1314"/>
      <c r="D67" s="1307"/>
      <c r="E67" s="1314"/>
      <c r="F67" s="1307"/>
    </row>
    <row r="68" spans="1:9" ht="24.95" customHeight="1" thickBot="1">
      <c r="A68" s="873"/>
      <c r="B68" s="841">
        <v>0</v>
      </c>
      <c r="C68" s="1315"/>
      <c r="D68" s="1308"/>
      <c r="E68" s="1315"/>
      <c r="F68" s="1308"/>
    </row>
    <row r="69" spans="1:9" ht="24.95" customHeight="1" thickBot="1">
      <c r="A69" s="556" t="s">
        <v>248</v>
      </c>
      <c r="B69" s="557">
        <f>SUM(B63:B68)</f>
        <v>650000</v>
      </c>
      <c r="C69" s="1317"/>
      <c r="D69" s="1311"/>
      <c r="E69" s="1317"/>
      <c r="F69" s="1311"/>
    </row>
    <row r="70" spans="1:9" ht="24.95" customHeight="1" thickBot="1">
      <c r="A70" s="556" t="s">
        <v>44</v>
      </c>
      <c r="B70" s="557">
        <f>+B69+B60</f>
        <v>1325000</v>
      </c>
      <c r="C70" s="1317"/>
      <c r="D70" s="1311"/>
      <c r="E70" s="1318"/>
      <c r="F70" s="1312"/>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ThNjT1BUg1v2LEGdGoFhDRnWH5kn9UQVhvG8BQVyqubi7Uvy7tyZilV7gBHInjvNU/IIffVVY7zXX6ylKFP0cw==" saltValue="LaPe7xpok2v10KFGyCcqV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U143"/>
  <sheetViews>
    <sheetView showGridLines="0" zoomScale="60" zoomScaleNormal="60" zoomScaleSheetLayoutView="70" workbookViewId="0">
      <selection activeCell="C10" sqref="C10"/>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10"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13" t="s">
        <v>450</v>
      </c>
      <c r="F1" s="546"/>
      <c r="AI1" s="33"/>
    </row>
    <row r="2" spans="1:47" s="50" customFormat="1" ht="24" customHeight="1">
      <c r="A2" s="1299"/>
      <c r="B2" s="1299"/>
      <c r="C2" s="1299"/>
      <c r="D2" s="1299"/>
      <c r="E2" s="1299"/>
      <c r="F2" s="1299"/>
      <c r="G2" s="1270"/>
      <c r="AI2" s="33"/>
    </row>
    <row r="3" spans="1:47" s="50" customFormat="1" ht="24" customHeight="1">
      <c r="A3" s="1296" t="s">
        <v>259</v>
      </c>
      <c r="B3" s="1296"/>
      <c r="C3" s="1296"/>
      <c r="D3" s="1296"/>
      <c r="E3" s="1296"/>
      <c r="F3" s="1299"/>
      <c r="G3" s="1270"/>
    </row>
    <row r="4" spans="1:47" s="50" customFormat="1" ht="23.45" customHeight="1">
      <c r="A4" s="1296" t="s">
        <v>608</v>
      </c>
      <c r="B4" s="1296"/>
      <c r="C4" s="1296"/>
      <c r="D4" s="1296"/>
      <c r="E4" s="1296"/>
      <c r="F4" s="1299"/>
      <c r="G4" s="1270"/>
    </row>
    <row r="5" spans="1:47" s="50" customFormat="1" ht="22.9" customHeight="1">
      <c r="A5" s="1295"/>
      <c r="B5" s="1295"/>
      <c r="C5" s="1295"/>
      <c r="D5" s="1295"/>
      <c r="E5" s="1295"/>
      <c r="F5" s="1299"/>
      <c r="G5" s="1270"/>
    </row>
    <row r="6" spans="1:47" s="50" customFormat="1" ht="24.95" customHeight="1">
      <c r="A6" s="546"/>
      <c r="B6" s="546"/>
      <c r="C6" s="546"/>
      <c r="D6" s="546"/>
      <c r="E6" s="546"/>
      <c r="F6" s="546"/>
    </row>
    <row r="7" spans="1:47" s="50" customFormat="1" ht="24.95" customHeight="1" thickBot="1">
      <c r="A7" s="1113" t="s">
        <v>233</v>
      </c>
      <c r="B7" s="1119" t="str">
        <f>'CHECK SHEET'!D7</f>
        <v>Daytona State College</v>
      </c>
      <c r="C7" s="1119"/>
      <c r="D7" s="1119"/>
      <c r="E7" s="1119"/>
      <c r="F7" s="1119"/>
    </row>
    <row r="8" spans="1:47" s="50" customFormat="1" ht="24.95" customHeight="1">
      <c r="A8" s="1134"/>
      <c r="B8" s="1134"/>
      <c r="C8" s="1134"/>
      <c r="D8" s="1134"/>
      <c r="E8" s="1134"/>
    </row>
    <row r="9" spans="1:47" s="50" customFormat="1" ht="24.95" customHeight="1">
      <c r="A9" s="314"/>
      <c r="B9" s="796"/>
      <c r="C9" s="796"/>
      <c r="D9" s="796"/>
      <c r="E9" s="796"/>
    </row>
    <row r="10" spans="1:47" s="50" customFormat="1" ht="42.6" customHeight="1">
      <c r="A10" s="1135" t="s">
        <v>712</v>
      </c>
      <c r="B10" s="1135"/>
      <c r="C10" s="1135"/>
      <c r="D10" s="1135"/>
      <c r="E10" s="1135"/>
    </row>
    <row r="11" spans="1:47" ht="24.95" customHeight="1" thickBot="1">
      <c r="A11" s="797"/>
      <c r="B11" s="797"/>
      <c r="C11" s="797"/>
      <c r="D11" s="797"/>
      <c r="E11" s="797"/>
      <c r="AI11" s="315"/>
      <c r="AT11" s="314"/>
      <c r="AU11" s="314"/>
    </row>
    <row r="12" spans="1:47" s="1189" customFormat="1" ht="78" customHeight="1" thickBot="1">
      <c r="A12" s="798" t="s">
        <v>24</v>
      </c>
      <c r="B12" s="798" t="s">
        <v>25</v>
      </c>
      <c r="C12" s="799" t="s">
        <v>405</v>
      </c>
      <c r="D12" s="799" t="s">
        <v>623</v>
      </c>
      <c r="E12" s="799" t="s">
        <v>575</v>
      </c>
    </row>
    <row r="13" spans="1:47" ht="24" customHeight="1">
      <c r="A13" s="800" t="s">
        <v>7</v>
      </c>
      <c r="B13" s="800" t="s">
        <v>436</v>
      </c>
      <c r="C13" s="801">
        <v>40101</v>
      </c>
      <c r="D13" s="946">
        <v>0</v>
      </c>
      <c r="E13" s="946">
        <v>0</v>
      </c>
      <c r="AI13" s="315"/>
    </row>
    <row r="14" spans="1:47" ht="24.95" customHeight="1">
      <c r="A14" s="947" t="s">
        <v>7</v>
      </c>
      <c r="B14" s="947" t="s">
        <v>338</v>
      </c>
      <c r="C14" s="948" t="s">
        <v>26</v>
      </c>
      <c r="D14" s="845">
        <v>0</v>
      </c>
      <c r="E14" s="845">
        <v>0</v>
      </c>
      <c r="AI14" s="315"/>
    </row>
    <row r="15" spans="1:47" ht="24.95" customHeight="1">
      <c r="A15" s="947" t="s">
        <v>7</v>
      </c>
      <c r="B15" s="947" t="s">
        <v>27</v>
      </c>
      <c r="C15" s="948" t="s">
        <v>28</v>
      </c>
      <c r="D15" s="845">
        <v>0</v>
      </c>
      <c r="E15" s="845">
        <v>0</v>
      </c>
      <c r="AI15" s="315"/>
    </row>
    <row r="16" spans="1:47" ht="24.95" customHeight="1">
      <c r="A16" s="947" t="s">
        <v>7</v>
      </c>
      <c r="B16" s="947" t="s">
        <v>527</v>
      </c>
      <c r="C16" s="948" t="s">
        <v>29</v>
      </c>
      <c r="D16" s="845">
        <v>0</v>
      </c>
      <c r="E16" s="845">
        <v>0</v>
      </c>
      <c r="AI16" s="315"/>
    </row>
    <row r="17" spans="1:46" ht="24.95" customHeight="1">
      <c r="A17" s="947" t="s">
        <v>7</v>
      </c>
      <c r="B17" s="947" t="s">
        <v>462</v>
      </c>
      <c r="C17" s="948" t="s">
        <v>30</v>
      </c>
      <c r="D17" s="846">
        <v>0</v>
      </c>
      <c r="E17" s="846">
        <v>0</v>
      </c>
      <c r="AI17" s="315"/>
    </row>
    <row r="18" spans="1:46" ht="24.95" customHeight="1" thickBot="1">
      <c r="A18" s="947" t="s">
        <v>7</v>
      </c>
      <c r="B18" s="947" t="s">
        <v>246</v>
      </c>
      <c r="C18" s="948">
        <v>40160</v>
      </c>
      <c r="D18" s="847">
        <v>0</v>
      </c>
      <c r="E18" s="847">
        <v>0</v>
      </c>
      <c r="AI18" s="315"/>
    </row>
    <row r="19" spans="1:46" ht="24.95" customHeight="1" thickBot="1">
      <c r="A19" s="802"/>
      <c r="B19" s="949"/>
      <c r="C19" s="950"/>
      <c r="D19" s="802"/>
      <c r="E19" s="951"/>
      <c r="AI19" s="315"/>
    </row>
    <row r="20" spans="1:46" ht="24.95" customHeight="1" thickBot="1">
      <c r="A20" s="952"/>
      <c r="B20" s="953" t="s">
        <v>260</v>
      </c>
      <c r="C20" s="953"/>
      <c r="D20" s="953"/>
      <c r="E20" s="954">
        <f>SUM(E13:E18)</f>
        <v>0</v>
      </c>
      <c r="AI20" s="315"/>
    </row>
    <row r="21" spans="1:46" ht="78" customHeight="1" thickBot="1">
      <c r="A21" s="798" t="s">
        <v>24</v>
      </c>
      <c r="B21" s="798" t="s">
        <v>25</v>
      </c>
      <c r="C21" s="799" t="s">
        <v>405</v>
      </c>
      <c r="D21" s="799" t="s">
        <v>503</v>
      </c>
      <c r="E21" s="799" t="s">
        <v>575</v>
      </c>
      <c r="AI21" s="315"/>
    </row>
    <row r="22" spans="1:46" s="312" customFormat="1" ht="24.95" customHeight="1">
      <c r="A22" s="955" t="s">
        <v>376</v>
      </c>
      <c r="B22" s="956" t="s">
        <v>436</v>
      </c>
      <c r="C22" s="957">
        <v>40301</v>
      </c>
      <c r="D22" s="946">
        <v>0</v>
      </c>
      <c r="E22" s="946">
        <v>0</v>
      </c>
    </row>
    <row r="23" spans="1:46" s="312" customFormat="1" ht="24.95" customHeight="1">
      <c r="A23" s="947" t="s">
        <v>376</v>
      </c>
      <c r="B23" s="958" t="s">
        <v>338</v>
      </c>
      <c r="C23" s="959" t="s">
        <v>34</v>
      </c>
      <c r="D23" s="960">
        <v>0</v>
      </c>
      <c r="E23" s="960">
        <v>0</v>
      </c>
    </row>
    <row r="24" spans="1:46" s="312" customFormat="1" ht="24.95" customHeight="1">
      <c r="A24" s="947" t="s">
        <v>376</v>
      </c>
      <c r="B24" s="958" t="s">
        <v>27</v>
      </c>
      <c r="C24" s="959" t="s">
        <v>35</v>
      </c>
      <c r="D24" s="960">
        <v>0</v>
      </c>
      <c r="E24" s="960">
        <v>0</v>
      </c>
    </row>
    <row r="25" spans="1:46" s="312" customFormat="1" ht="24.95" customHeight="1">
      <c r="A25" s="947" t="s">
        <v>376</v>
      </c>
      <c r="B25" s="958" t="s">
        <v>527</v>
      </c>
      <c r="C25" s="959" t="s">
        <v>36</v>
      </c>
      <c r="D25" s="960">
        <v>0</v>
      </c>
      <c r="E25" s="960">
        <v>0</v>
      </c>
    </row>
    <row r="26" spans="1:46" s="312" customFormat="1" ht="24.95" customHeight="1">
      <c r="A26" s="947" t="s">
        <v>376</v>
      </c>
      <c r="B26" s="958" t="s">
        <v>462</v>
      </c>
      <c r="C26" s="959" t="s">
        <v>37</v>
      </c>
      <c r="D26" s="960">
        <v>0</v>
      </c>
      <c r="E26" s="960">
        <v>0</v>
      </c>
    </row>
    <row r="27" spans="1:46" s="312" customFormat="1" ht="24.95" customHeight="1" thickBot="1">
      <c r="A27" s="720" t="s">
        <v>376</v>
      </c>
      <c r="B27" s="956" t="s">
        <v>246</v>
      </c>
      <c r="C27" s="803">
        <v>40360</v>
      </c>
      <c r="D27" s="847">
        <v>0</v>
      </c>
      <c r="E27" s="848">
        <v>0</v>
      </c>
    </row>
    <row r="28" spans="1:46" ht="24.95" customHeight="1" thickBot="1">
      <c r="A28" s="961"/>
      <c r="B28" s="962"/>
      <c r="C28" s="961"/>
      <c r="D28" s="804"/>
      <c r="E28" s="963"/>
      <c r="AI28" s="315"/>
    </row>
    <row r="29" spans="1:46" ht="24.95" customHeight="1" thickBot="1">
      <c r="A29" s="964"/>
      <c r="B29" s="965" t="s">
        <v>260</v>
      </c>
      <c r="C29" s="805"/>
      <c r="D29" s="805"/>
      <c r="E29" s="966">
        <f>SUM(E22:E27)</f>
        <v>0</v>
      </c>
      <c r="AI29" s="315"/>
      <c r="AT29" s="806"/>
    </row>
    <row r="30" spans="1:46" ht="24.95" customHeight="1" thickBot="1">
      <c r="A30" s="805" t="s">
        <v>40</v>
      </c>
      <c r="B30" s="807"/>
      <c r="C30" s="808"/>
      <c r="D30" s="808"/>
      <c r="E30" s="809">
        <f>E20+E29</f>
        <v>0</v>
      </c>
      <c r="AI30" s="315"/>
    </row>
    <row r="31" spans="1:46" ht="24.95" customHeight="1">
      <c r="A31" s="796"/>
      <c r="B31" s="797"/>
      <c r="C31" s="797"/>
      <c r="D31" s="797"/>
      <c r="E31" s="797"/>
      <c r="AI31" s="315"/>
    </row>
    <row r="32" spans="1:46" ht="24.95" customHeight="1" thickBot="1">
      <c r="A32" s="931" t="s">
        <v>384</v>
      </c>
      <c r="B32" s="797"/>
      <c r="C32" s="797"/>
      <c r="D32" s="797"/>
      <c r="E32" s="797"/>
      <c r="AI32" s="315"/>
    </row>
    <row r="33" spans="1:46" ht="24.95" customHeight="1">
      <c r="A33" s="1125"/>
      <c r="B33" s="1126"/>
      <c r="C33" s="1126"/>
      <c r="D33" s="1126"/>
      <c r="E33" s="1127"/>
      <c r="AI33" s="315"/>
    </row>
    <row r="34" spans="1:46" ht="24.95" customHeight="1">
      <c r="A34" s="1128"/>
      <c r="B34" s="1129"/>
      <c r="C34" s="1129"/>
      <c r="D34" s="1129"/>
      <c r="E34" s="1130"/>
      <c r="AI34" s="315"/>
    </row>
    <row r="35" spans="1:46" s="806" customFormat="1" ht="24.95" customHeight="1">
      <c r="A35" s="1128"/>
      <c r="B35" s="1129"/>
      <c r="C35" s="1129"/>
      <c r="D35" s="1129"/>
      <c r="E35" s="1130"/>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28"/>
      <c r="B36" s="1129"/>
      <c r="C36" s="1129"/>
      <c r="D36" s="1129"/>
      <c r="E36" s="1130"/>
      <c r="AI36" s="315"/>
    </row>
    <row r="37" spans="1:46" ht="24.95" customHeight="1" thickBot="1">
      <c r="A37" s="1131"/>
      <c r="B37" s="1132"/>
      <c r="C37" s="1132"/>
      <c r="D37" s="1132"/>
      <c r="E37" s="1133"/>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1"/>
      <c r="AI59" s="812"/>
    </row>
    <row r="60" spans="34:35" ht="20.25" customHeight="1">
      <c r="AH60" s="811"/>
      <c r="AI60" s="812"/>
    </row>
    <row r="61" spans="34:35" ht="20.25" customHeight="1">
      <c r="AH61" s="811"/>
    </row>
    <row r="62" spans="34:35" ht="20.25" customHeight="1"/>
    <row r="63" spans="34:35" ht="20.25" customHeight="1">
      <c r="AH63" s="811"/>
      <c r="AI63" s="812"/>
    </row>
    <row r="64" spans="34:35" ht="20.25" customHeight="1">
      <c r="AH64" s="811"/>
      <c r="AI64" s="812"/>
    </row>
    <row r="65" spans="1:35" ht="20.25" customHeight="1">
      <c r="A65" s="314"/>
      <c r="B65" s="314"/>
      <c r="C65" s="314"/>
      <c r="D65" s="314"/>
      <c r="E65" s="314"/>
      <c r="AH65" s="811"/>
      <c r="AI65" s="812"/>
    </row>
    <row r="66" spans="1:35" ht="20.25" customHeight="1">
      <c r="A66" s="314"/>
      <c r="B66" s="314"/>
      <c r="C66" s="314"/>
      <c r="D66" s="314"/>
      <c r="E66" s="314"/>
    </row>
    <row r="67" spans="1:35" ht="20.25" customHeight="1">
      <c r="A67" s="314"/>
      <c r="B67" s="314"/>
      <c r="C67" s="314"/>
      <c r="D67" s="314"/>
      <c r="E67" s="314"/>
      <c r="AH67" s="811"/>
    </row>
    <row r="68" spans="1:35" ht="20.25" customHeight="1">
      <c r="A68" s="314"/>
      <c r="B68" s="314"/>
      <c r="C68" s="314"/>
      <c r="D68" s="314"/>
      <c r="E68" s="314"/>
      <c r="AH68" s="811"/>
      <c r="AI68" s="812"/>
    </row>
    <row r="69" spans="1:35" ht="20.25" customHeight="1">
      <c r="AH69" s="811"/>
      <c r="AI69" s="812"/>
    </row>
    <row r="70" spans="1:35" ht="20.25" customHeight="1">
      <c r="AH70" s="811"/>
    </row>
    <row r="71" spans="1:35" ht="20.25" customHeight="1">
      <c r="AH71" s="811"/>
    </row>
    <row r="72" spans="1:35" ht="20.25" customHeight="1">
      <c r="AH72" s="811"/>
    </row>
    <row r="73" spans="1:35" ht="20.25" customHeight="1">
      <c r="AH73" s="811"/>
      <c r="AI73" s="812"/>
    </row>
    <row r="74" spans="1:35" ht="20.25" customHeight="1"/>
    <row r="75" spans="1:35" ht="20.25" customHeight="1">
      <c r="AH75" s="811"/>
    </row>
    <row r="76" spans="1:35" ht="20.25" customHeight="1">
      <c r="AH76" s="811"/>
      <c r="AI76" s="812"/>
    </row>
    <row r="77" spans="1:35" ht="20.25" customHeight="1">
      <c r="AH77" s="811"/>
      <c r="AI77" s="812"/>
    </row>
    <row r="78" spans="1:35" ht="20.25" customHeight="1">
      <c r="AH78" s="811"/>
      <c r="AI78" s="812"/>
    </row>
    <row r="79" spans="1:35" ht="20.25" customHeight="1">
      <c r="AH79" s="811"/>
      <c r="AI79" s="812"/>
    </row>
    <row r="80" spans="1:35" ht="20.25" customHeight="1">
      <c r="AH80" s="811"/>
    </row>
    <row r="81" spans="3:35" ht="20.25" customHeight="1">
      <c r="AH81" s="811"/>
      <c r="AI81" s="812"/>
    </row>
    <row r="82" spans="3:35" ht="20.25" customHeight="1">
      <c r="AH82" s="811"/>
      <c r="AI82" s="812"/>
    </row>
    <row r="83" spans="3:35" ht="20.25" customHeight="1">
      <c r="AH83" s="811"/>
      <c r="AI83" s="812"/>
    </row>
    <row r="84" spans="3:35" ht="20.25" customHeight="1"/>
    <row r="85" spans="3:35" ht="20.25" customHeight="1">
      <c r="AH85" s="811"/>
      <c r="AI85" s="812"/>
    </row>
    <row r="86" spans="3:35" ht="18" customHeight="1">
      <c r="AH86" s="811"/>
      <c r="AI86" s="812"/>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sheetPr>
  <dimension ref="A1:L275"/>
  <sheetViews>
    <sheetView showGridLines="0" zoomScale="60" zoomScaleNormal="60" zoomScaleSheetLayoutView="70" zoomScalePageLayoutView="80" workbookViewId="0">
      <selection activeCell="J12" sqref="J12"/>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8"/>
    </row>
    <row r="2" spans="1:8" ht="30" customHeight="1" thickBot="1">
      <c r="A2" s="1319" t="s">
        <v>15</v>
      </c>
      <c r="B2" s="1300" t="str">
        <f>'CHECK SHEET'!D7</f>
        <v>Daytona State College</v>
      </c>
      <c r="C2" s="1300"/>
      <c r="D2" s="1300"/>
      <c r="E2" s="1300"/>
      <c r="F2" s="1300"/>
      <c r="G2" s="1320"/>
    </row>
    <row r="3" spans="1:8" ht="22.9" customHeight="1">
      <c r="A3" s="1296" t="s">
        <v>510</v>
      </c>
      <c r="B3" s="1296"/>
      <c r="C3" s="1296"/>
      <c r="D3" s="1296"/>
      <c r="E3" s="1296"/>
      <c r="F3" s="1296"/>
      <c r="G3" s="1296"/>
    </row>
    <row r="4" spans="1:8" ht="23.45" customHeight="1">
      <c r="A4" s="1296" t="s">
        <v>45</v>
      </c>
      <c r="B4" s="1296"/>
      <c r="C4" s="1296"/>
      <c r="D4" s="1296"/>
      <c r="E4" s="1296"/>
      <c r="F4" s="1296"/>
      <c r="G4" s="1296"/>
    </row>
    <row r="5" spans="1:8" ht="23.45" customHeight="1">
      <c r="A5" s="1296" t="s">
        <v>735</v>
      </c>
      <c r="B5" s="1296"/>
      <c r="C5" s="1296"/>
      <c r="D5" s="1296"/>
      <c r="E5" s="1296"/>
      <c r="F5" s="1296"/>
      <c r="G5" s="1296"/>
    </row>
    <row r="6" spans="1:8" ht="19.899999999999999" customHeight="1">
      <c r="A6" s="1321"/>
      <c r="B6" s="1321"/>
      <c r="C6" s="1321"/>
      <c r="D6" s="1321"/>
      <c r="E6" s="1321"/>
      <c r="F6" s="1321"/>
      <c r="G6" s="1321"/>
    </row>
    <row r="7" spans="1:8" ht="38.450000000000003" customHeight="1">
      <c r="A7" s="1322" t="s">
        <v>657</v>
      </c>
      <c r="B7" s="1322"/>
      <c r="C7" s="1322"/>
      <c r="D7" s="1322"/>
      <c r="E7" s="1322"/>
      <c r="F7" s="1322"/>
      <c r="G7" s="1322"/>
      <c r="H7" s="322"/>
    </row>
    <row r="8" spans="1:8" ht="19.899999999999999" customHeight="1">
      <c r="A8" s="321"/>
      <c r="B8" s="321"/>
      <c r="C8" s="321"/>
      <c r="D8" s="321"/>
      <c r="E8" s="321"/>
      <c r="F8" s="321"/>
      <c r="G8" s="321"/>
      <c r="H8" s="1063"/>
    </row>
    <row r="9" spans="1:8" ht="76.150000000000006" customHeight="1">
      <c r="A9" s="1041" t="s">
        <v>46</v>
      </c>
      <c r="B9" s="1042" t="s">
        <v>47</v>
      </c>
      <c r="C9" s="1042"/>
      <c r="D9" s="1042"/>
      <c r="E9" s="1042"/>
      <c r="F9" s="1043" t="s">
        <v>405</v>
      </c>
      <c r="G9" s="1044" t="s">
        <v>671</v>
      </c>
      <c r="H9" s="316"/>
    </row>
    <row r="10" spans="1:8" ht="19.899999999999999" customHeight="1">
      <c r="A10" s="1064" t="s">
        <v>539</v>
      </c>
      <c r="B10" s="1065"/>
      <c r="C10" s="1065"/>
      <c r="D10" s="1065"/>
      <c r="E10" s="1065"/>
      <c r="F10" s="1066"/>
      <c r="G10" s="1067"/>
      <c r="H10" s="316"/>
    </row>
    <row r="11" spans="1:8" ht="19.899999999999999" customHeight="1">
      <c r="A11" s="970"/>
      <c r="B11" s="323"/>
      <c r="C11" s="323"/>
      <c r="D11" s="323"/>
      <c r="E11" s="323"/>
      <c r="F11" s="324"/>
      <c r="G11" s="325"/>
      <c r="H11" s="316"/>
    </row>
    <row r="12" spans="1:8" ht="19.899999999999999" customHeight="1">
      <c r="A12" s="971" t="s">
        <v>7</v>
      </c>
      <c r="B12" s="326"/>
      <c r="C12" s="326" t="s">
        <v>436</v>
      </c>
      <c r="D12" s="326"/>
      <c r="E12" s="326"/>
      <c r="F12" s="327">
        <v>40101</v>
      </c>
      <c r="G12" s="328">
        <f>+'EXHIBIT C'!H10+'EXHIBIT C(2)'!E13</f>
        <v>2401685</v>
      </c>
      <c r="H12" s="316"/>
    </row>
    <row r="13" spans="1:8" ht="19.899999999999999" customHeight="1">
      <c r="A13" s="970" t="s">
        <v>7</v>
      </c>
      <c r="B13" s="323"/>
      <c r="C13" s="316" t="s">
        <v>338</v>
      </c>
      <c r="D13" s="323"/>
      <c r="E13" s="323"/>
      <c r="F13" s="329" t="s">
        <v>26</v>
      </c>
      <c r="G13" s="328">
        <f>+'EXHIBIT C'!H11+'EXHIBIT C(2)'!E14</f>
        <v>11670453</v>
      </c>
      <c r="H13" s="316"/>
    </row>
    <row r="14" spans="1:8" ht="19.899999999999999" customHeight="1">
      <c r="A14" s="970" t="s">
        <v>7</v>
      </c>
      <c r="B14" s="323"/>
      <c r="C14" s="323" t="s">
        <v>27</v>
      </c>
      <c r="D14" s="323"/>
      <c r="E14" s="323"/>
      <c r="F14" s="329" t="s">
        <v>28</v>
      </c>
      <c r="G14" s="1046">
        <f>+'EXHIBIT C'!H12+'EXHIBIT C(2)'!E15</f>
        <v>4520452</v>
      </c>
      <c r="H14" s="316"/>
    </row>
    <row r="15" spans="1:8" ht="19.899999999999999" customHeight="1">
      <c r="A15" s="970" t="s">
        <v>7</v>
      </c>
      <c r="B15" s="323"/>
      <c r="C15" s="330" t="s">
        <v>485</v>
      </c>
      <c r="D15" s="323"/>
      <c r="E15" s="323"/>
      <c r="F15" s="329" t="s">
        <v>29</v>
      </c>
      <c r="G15" s="1046">
        <f>+'EXHIBIT C'!H13+'EXHIBIT C(2)'!E16</f>
        <v>1208938</v>
      </c>
      <c r="H15" s="316"/>
    </row>
    <row r="16" spans="1:8" ht="19.899999999999999" customHeight="1">
      <c r="A16" s="970" t="s">
        <v>7</v>
      </c>
      <c r="B16" s="323"/>
      <c r="C16" s="330" t="s">
        <v>484</v>
      </c>
      <c r="D16" s="323"/>
      <c r="E16" s="323"/>
      <c r="F16" s="329" t="s">
        <v>30</v>
      </c>
      <c r="G16" s="1047">
        <f>+'EXHIBIT C'!H14+'EXHIBIT C(2)'!E17</f>
        <v>471201</v>
      </c>
      <c r="H16" s="316"/>
    </row>
    <row r="17" spans="1:8" ht="19.899999999999999" customHeight="1">
      <c r="A17" s="970" t="s">
        <v>7</v>
      </c>
      <c r="B17" s="323"/>
      <c r="C17" s="316" t="s">
        <v>246</v>
      </c>
      <c r="D17" s="323"/>
      <c r="E17" s="323"/>
      <c r="F17" s="332">
        <v>40160</v>
      </c>
      <c r="G17" s="1047">
        <f>+'EXHIBIT C'!H15+'EXHIBIT C(2)'!E18</f>
        <v>2693</v>
      </c>
      <c r="H17" s="316"/>
    </row>
    <row r="18" spans="1:8" ht="19.899999999999999" customHeight="1">
      <c r="A18" s="970"/>
      <c r="B18" s="323"/>
      <c r="C18" s="323"/>
      <c r="D18" s="323"/>
      <c r="E18" s="323"/>
      <c r="F18" s="329"/>
      <c r="G18" s="331"/>
      <c r="H18" s="316"/>
    </row>
    <row r="19" spans="1:8" ht="19.899999999999999" customHeight="1">
      <c r="A19" s="972" t="s">
        <v>571</v>
      </c>
      <c r="B19" s="323"/>
      <c r="C19" s="323"/>
      <c r="D19" s="323"/>
      <c r="E19" s="323"/>
      <c r="F19" s="329"/>
      <c r="G19" s="973">
        <f>SUM(G12:G17)</f>
        <v>20275422</v>
      </c>
      <c r="H19" s="316"/>
    </row>
    <row r="20" spans="1:8" ht="19.899999999999999" customHeight="1">
      <c r="A20" s="970"/>
      <c r="B20" s="323"/>
      <c r="C20" s="323"/>
      <c r="D20" s="323"/>
      <c r="E20" s="323"/>
      <c r="F20" s="329"/>
      <c r="G20" s="333"/>
      <c r="H20" s="316"/>
    </row>
    <row r="21" spans="1:8" ht="19.899999999999999" customHeight="1">
      <c r="A21" s="971" t="s">
        <v>376</v>
      </c>
      <c r="B21" s="326"/>
      <c r="C21" s="326" t="s">
        <v>436</v>
      </c>
      <c r="D21" s="326"/>
      <c r="E21" s="326"/>
      <c r="F21" s="327">
        <v>40301</v>
      </c>
      <c r="G21" s="334">
        <f>+'EXHIBIT C'!F19+'EXHIBIT C(2)'!E22</f>
        <v>233906</v>
      </c>
      <c r="H21" s="1060"/>
    </row>
    <row r="22" spans="1:8" ht="19.899999999999999" customHeight="1">
      <c r="A22" s="971" t="s">
        <v>376</v>
      </c>
      <c r="B22" s="323"/>
      <c r="C22" s="316" t="s">
        <v>338</v>
      </c>
      <c r="D22" s="323"/>
      <c r="E22" s="323"/>
      <c r="F22" s="329" t="s">
        <v>34</v>
      </c>
      <c r="G22" s="334">
        <f>+'EXHIBIT C'!F20+'EXHIBIT C(2)'!E23</f>
        <v>2768907</v>
      </c>
      <c r="H22" s="316"/>
    </row>
    <row r="23" spans="1:8" ht="19.899999999999999" customHeight="1">
      <c r="A23" s="971" t="s">
        <v>376</v>
      </c>
      <c r="B23" s="323"/>
      <c r="C23" s="323" t="s">
        <v>27</v>
      </c>
      <c r="D23" s="323"/>
      <c r="E23" s="323"/>
      <c r="F23" s="329" t="s">
        <v>35</v>
      </c>
      <c r="G23" s="339">
        <f>+'EXHIBIT C'!F21+'EXHIBIT C(2)'!E24</f>
        <v>559951</v>
      </c>
      <c r="H23" s="316"/>
    </row>
    <row r="24" spans="1:8" ht="19.899999999999999" customHeight="1">
      <c r="A24" s="971" t="s">
        <v>376</v>
      </c>
      <c r="B24" s="323"/>
      <c r="C24" s="330" t="s">
        <v>485</v>
      </c>
      <c r="D24" s="323"/>
      <c r="E24" s="323"/>
      <c r="F24" s="329" t="s">
        <v>36</v>
      </c>
      <c r="G24" s="339">
        <f>+'EXHIBIT C'!F22+'EXHIBIT C(2)'!E25</f>
        <v>121215</v>
      </c>
      <c r="H24" s="316"/>
    </row>
    <row r="25" spans="1:8" ht="19.899999999999999" customHeight="1">
      <c r="A25" s="971" t="s">
        <v>376</v>
      </c>
      <c r="B25" s="323"/>
      <c r="C25" s="330" t="s">
        <v>484</v>
      </c>
      <c r="D25" s="323"/>
      <c r="E25" s="323"/>
      <c r="F25" s="329" t="s">
        <v>37</v>
      </c>
      <c r="G25" s="339">
        <f>+'EXHIBIT C'!F23+'EXHIBIT C(2)'!E26</f>
        <v>110877</v>
      </c>
      <c r="H25" s="316"/>
    </row>
    <row r="26" spans="1:8" ht="19.899999999999999" customHeight="1">
      <c r="A26" s="971" t="s">
        <v>376</v>
      </c>
      <c r="B26" s="323"/>
      <c r="C26" s="316" t="s">
        <v>246</v>
      </c>
      <c r="D26" s="323"/>
      <c r="E26" s="323"/>
      <c r="F26" s="332">
        <v>40360</v>
      </c>
      <c r="G26" s="339">
        <f>+'EXHIBIT C'!F24+'EXHIBIT C(2)'!E27</f>
        <v>0</v>
      </c>
      <c r="H26" s="316"/>
    </row>
    <row r="27" spans="1:8" ht="19.899999999999999" customHeight="1">
      <c r="A27" s="970"/>
      <c r="B27" s="323"/>
      <c r="C27" s="323"/>
      <c r="D27" s="323"/>
      <c r="E27" s="323"/>
      <c r="F27" s="329"/>
      <c r="G27" s="335"/>
      <c r="H27" s="316"/>
    </row>
    <row r="28" spans="1:8" ht="19.899999999999999" customHeight="1">
      <c r="A28" s="972" t="s">
        <v>536</v>
      </c>
      <c r="B28" s="323"/>
      <c r="C28" s="323"/>
      <c r="D28" s="323"/>
      <c r="E28" s="323"/>
      <c r="F28" s="329"/>
      <c r="G28" s="974">
        <f>SUM(G21:G26)</f>
        <v>3794856</v>
      </c>
      <c r="H28" s="316"/>
    </row>
    <row r="29" spans="1:8" ht="19.899999999999999" customHeight="1">
      <c r="A29" s="970"/>
      <c r="B29" s="323"/>
      <c r="C29" s="323"/>
      <c r="D29" s="323"/>
      <c r="E29" s="323"/>
      <c r="F29" s="329"/>
      <c r="G29" s="336"/>
      <c r="H29" s="316"/>
    </row>
    <row r="30" spans="1:8" ht="19.899999999999999" customHeight="1">
      <c r="A30" s="970" t="s">
        <v>520</v>
      </c>
      <c r="B30" s="323"/>
      <c r="C30" s="1143" t="s">
        <v>31</v>
      </c>
      <c r="D30" s="1143"/>
      <c r="E30" s="1143"/>
      <c r="F30" s="329" t="s">
        <v>32</v>
      </c>
      <c r="G30" s="337">
        <f>'EXHIBIT C'!H32</f>
        <v>0</v>
      </c>
      <c r="H30" s="316"/>
    </row>
    <row r="31" spans="1:8" ht="19.899999999999999" customHeight="1">
      <c r="A31" s="970" t="s">
        <v>520</v>
      </c>
      <c r="B31" s="323"/>
      <c r="C31" s="316" t="s">
        <v>454</v>
      </c>
      <c r="D31" s="323"/>
      <c r="E31" s="323"/>
      <c r="F31" s="329" t="s">
        <v>33</v>
      </c>
      <c r="G31" s="337">
        <f>'EXHIBIT C'!H33</f>
        <v>120240</v>
      </c>
      <c r="H31" s="316"/>
    </row>
    <row r="32" spans="1:8" ht="19.899999999999999" customHeight="1">
      <c r="A32" s="970" t="s">
        <v>521</v>
      </c>
      <c r="B32" s="323"/>
      <c r="C32" s="323" t="s">
        <v>31</v>
      </c>
      <c r="D32" s="323"/>
      <c r="E32" s="323"/>
      <c r="F32" s="329" t="s">
        <v>32</v>
      </c>
      <c r="G32" s="337">
        <f>'EXHIBIT C'!H34</f>
        <v>0</v>
      </c>
      <c r="H32" s="316"/>
    </row>
    <row r="33" spans="1:8" ht="19.899999999999999" customHeight="1">
      <c r="A33" s="970" t="s">
        <v>521</v>
      </c>
      <c r="B33" s="323"/>
      <c r="C33" s="316" t="s">
        <v>454</v>
      </c>
      <c r="D33" s="323"/>
      <c r="E33" s="323"/>
      <c r="F33" s="329" t="s">
        <v>33</v>
      </c>
      <c r="G33" s="337">
        <f>'EXHIBIT C'!H35</f>
        <v>0</v>
      </c>
      <c r="H33" s="316"/>
    </row>
    <row r="34" spans="1:8" ht="19.899999999999999" customHeight="1">
      <c r="A34" s="970"/>
      <c r="B34" s="323"/>
      <c r="C34" s="323"/>
      <c r="D34" s="323"/>
      <c r="E34" s="323"/>
      <c r="F34" s="329"/>
      <c r="G34" s="338"/>
      <c r="H34" s="316"/>
    </row>
    <row r="35" spans="1:8" ht="19.899999999999999" customHeight="1">
      <c r="A35" s="972" t="s">
        <v>522</v>
      </c>
      <c r="B35" s="323"/>
      <c r="C35" s="323"/>
      <c r="D35" s="323"/>
      <c r="E35" s="323"/>
      <c r="F35" s="329"/>
      <c r="G35" s="974">
        <f>SUM(G30:G33)</f>
        <v>120240</v>
      </c>
      <c r="H35" s="316"/>
    </row>
    <row r="36" spans="1:8" ht="19.899999999999999" customHeight="1">
      <c r="A36" s="970"/>
      <c r="B36" s="323"/>
      <c r="C36" s="323"/>
      <c r="D36" s="323"/>
      <c r="E36" s="323"/>
      <c r="F36" s="329"/>
      <c r="G36" s="335"/>
      <c r="H36" s="316"/>
    </row>
    <row r="37" spans="1:8" ht="19.899999999999999" customHeight="1">
      <c r="A37" s="970" t="s">
        <v>533</v>
      </c>
      <c r="B37" s="323"/>
      <c r="C37" s="323" t="s">
        <v>31</v>
      </c>
      <c r="D37" s="323"/>
      <c r="E37" s="323"/>
      <c r="F37" s="329" t="s">
        <v>38</v>
      </c>
      <c r="G37" s="339">
        <f>'EXHIBIT C'!F39</f>
        <v>0</v>
      </c>
      <c r="H37" s="316"/>
    </row>
    <row r="38" spans="1:8" ht="19.899999999999999" customHeight="1">
      <c r="A38" s="970" t="s">
        <v>533</v>
      </c>
      <c r="B38" s="323"/>
      <c r="C38" s="1144" t="s">
        <v>454</v>
      </c>
      <c r="D38" s="1144"/>
      <c r="E38" s="1144"/>
      <c r="F38" s="329" t="s">
        <v>39</v>
      </c>
      <c r="G38" s="339">
        <f>'EXHIBIT C'!F40</f>
        <v>0</v>
      </c>
      <c r="H38" s="316"/>
    </row>
    <row r="39" spans="1:8" ht="19.899999999999999" customHeight="1">
      <c r="A39" s="970" t="s">
        <v>534</v>
      </c>
      <c r="B39" s="323"/>
      <c r="C39" s="323" t="s">
        <v>31</v>
      </c>
      <c r="D39" s="323"/>
      <c r="E39" s="323"/>
      <c r="F39" s="329" t="s">
        <v>38</v>
      </c>
      <c r="G39" s="339">
        <f>'EXHIBIT C'!F41</f>
        <v>0</v>
      </c>
      <c r="H39" s="316"/>
    </row>
    <row r="40" spans="1:8" ht="19.899999999999999" customHeight="1">
      <c r="A40" s="970" t="s">
        <v>534</v>
      </c>
      <c r="B40" s="323"/>
      <c r="C40" s="1144" t="s">
        <v>454</v>
      </c>
      <c r="D40" s="1144"/>
      <c r="E40" s="1144"/>
      <c r="F40" s="329" t="s">
        <v>39</v>
      </c>
      <c r="G40" s="339">
        <f>'EXHIBIT C'!F42</f>
        <v>0</v>
      </c>
      <c r="H40" s="316"/>
    </row>
    <row r="41" spans="1:8" ht="19.899999999999999" customHeight="1">
      <c r="A41" s="970"/>
      <c r="B41" s="323"/>
      <c r="C41" s="323"/>
      <c r="D41" s="323"/>
      <c r="E41" s="323"/>
      <c r="F41" s="329"/>
      <c r="G41" s="335"/>
      <c r="H41" s="316"/>
    </row>
    <row r="42" spans="1:8" ht="19.899999999999999" customHeight="1">
      <c r="A42" s="972" t="s">
        <v>535</v>
      </c>
      <c r="B42" s="323"/>
      <c r="C42" s="323"/>
      <c r="D42" s="323"/>
      <c r="E42" s="323"/>
      <c r="F42" s="329"/>
      <c r="G42" s="974">
        <f>SUM(G37:G41)</f>
        <v>0</v>
      </c>
      <c r="H42" s="316"/>
    </row>
    <row r="43" spans="1:8" ht="19.899999999999999" customHeight="1">
      <c r="A43" s="970"/>
      <c r="B43" s="323"/>
      <c r="C43" s="323"/>
      <c r="D43" s="323"/>
      <c r="E43" s="323"/>
      <c r="F43" s="329"/>
      <c r="G43" s="336"/>
      <c r="H43" s="316"/>
    </row>
    <row r="44" spans="1:8" ht="19.899999999999999" customHeight="1">
      <c r="A44" s="972" t="s">
        <v>598</v>
      </c>
      <c r="B44" s="323"/>
      <c r="C44" s="323"/>
      <c r="D44" s="323"/>
      <c r="E44" s="323"/>
      <c r="F44" s="329"/>
      <c r="G44" s="340">
        <f>G19+G28+G35+G42</f>
        <v>24190518</v>
      </c>
      <c r="H44" s="316"/>
    </row>
    <row r="45" spans="1:8" ht="19.899999999999999" customHeight="1">
      <c r="A45" s="970"/>
      <c r="B45" s="323"/>
      <c r="C45" s="323"/>
      <c r="D45" s="323"/>
      <c r="E45" s="323"/>
      <c r="F45" s="329"/>
      <c r="G45" s="335"/>
      <c r="H45" s="316"/>
    </row>
    <row r="46" spans="1:8" ht="19.899999999999999" customHeight="1">
      <c r="A46" s="970" t="s">
        <v>48</v>
      </c>
      <c r="B46" s="323"/>
      <c r="C46" s="323"/>
      <c r="D46" s="323"/>
      <c r="E46" s="323"/>
      <c r="F46" s="329" t="s">
        <v>49</v>
      </c>
      <c r="G46" s="849">
        <v>0</v>
      </c>
      <c r="H46" s="316"/>
    </row>
    <row r="47" spans="1:8" ht="19.899999999999999" customHeight="1">
      <c r="A47" s="970" t="s">
        <v>429</v>
      </c>
      <c r="B47" s="341"/>
      <c r="C47" s="341"/>
      <c r="D47" s="341"/>
      <c r="E47" s="341"/>
      <c r="F47" s="342" t="s">
        <v>435</v>
      </c>
      <c r="G47" s="849">
        <v>232000</v>
      </c>
      <c r="H47" s="1060"/>
    </row>
    <row r="48" spans="1:8" ht="19.899999999999999" customHeight="1">
      <c r="A48" s="970" t="s">
        <v>486</v>
      </c>
      <c r="B48" s="316"/>
      <c r="C48" s="341"/>
      <c r="D48" s="341"/>
      <c r="E48" s="341"/>
      <c r="F48" s="342" t="s">
        <v>457</v>
      </c>
      <c r="G48" s="849">
        <v>150000</v>
      </c>
      <c r="H48" s="1060"/>
    </row>
    <row r="49" spans="1:8" ht="19.899999999999999" customHeight="1">
      <c r="A49" s="970" t="s">
        <v>50</v>
      </c>
      <c r="B49" s="323"/>
      <c r="C49" s="323"/>
      <c r="D49" s="323"/>
      <c r="E49" s="323"/>
      <c r="F49" s="343" t="s">
        <v>51</v>
      </c>
      <c r="G49" s="849">
        <v>0</v>
      </c>
      <c r="H49" s="316"/>
    </row>
    <row r="50" spans="1:8" ht="19.899999999999999" customHeight="1">
      <c r="A50" s="970" t="s">
        <v>487</v>
      </c>
      <c r="B50" s="323"/>
      <c r="C50" s="323"/>
      <c r="D50" s="323"/>
      <c r="E50" s="323"/>
      <c r="F50" s="343" t="s">
        <v>52</v>
      </c>
      <c r="G50" s="849">
        <v>1419493</v>
      </c>
      <c r="H50" s="316"/>
    </row>
    <row r="51" spans="1:8" ht="19.899999999999999" customHeight="1">
      <c r="A51" s="970" t="s">
        <v>488</v>
      </c>
      <c r="B51" s="323"/>
      <c r="C51" s="323"/>
      <c r="D51" s="323"/>
      <c r="E51" s="323"/>
      <c r="F51" s="327">
        <v>40450</v>
      </c>
      <c r="G51" s="849">
        <v>1821332</v>
      </c>
      <c r="H51" s="316"/>
    </row>
    <row r="52" spans="1:8" ht="19.899999999999999" customHeight="1">
      <c r="A52" s="970" t="s">
        <v>53</v>
      </c>
      <c r="B52" s="323"/>
      <c r="C52" s="323"/>
      <c r="D52" s="323"/>
      <c r="E52" s="323"/>
      <c r="F52" s="343" t="s">
        <v>54</v>
      </c>
      <c r="G52" s="849">
        <v>5000</v>
      </c>
      <c r="H52" s="316"/>
    </row>
    <row r="53" spans="1:8" ht="19.899999999999999" customHeight="1">
      <c r="A53" s="971" t="s">
        <v>432</v>
      </c>
      <c r="B53" s="326"/>
      <c r="C53" s="326"/>
      <c r="D53" s="326"/>
      <c r="E53" s="326"/>
      <c r="F53" s="342" t="s">
        <v>431</v>
      </c>
      <c r="G53" s="849">
        <v>0</v>
      </c>
      <c r="H53" s="316"/>
    </row>
    <row r="54" spans="1:8" ht="19.899999999999999" customHeight="1">
      <c r="A54" s="971" t="s">
        <v>55</v>
      </c>
      <c r="B54" s="326"/>
      <c r="C54" s="326"/>
      <c r="D54" s="326"/>
      <c r="E54" s="326"/>
      <c r="F54" s="343" t="s">
        <v>56</v>
      </c>
      <c r="G54" s="849">
        <v>65415</v>
      </c>
      <c r="H54" s="316"/>
    </row>
    <row r="55" spans="1:8" ht="19.899999999999999" customHeight="1">
      <c r="A55" s="971" t="s">
        <v>433</v>
      </c>
      <c r="B55" s="326"/>
      <c r="C55" s="326"/>
      <c r="D55" s="326"/>
      <c r="E55" s="326"/>
      <c r="F55" s="342" t="s">
        <v>434</v>
      </c>
      <c r="G55" s="849">
        <v>0</v>
      </c>
      <c r="H55" s="316"/>
    </row>
    <row r="56" spans="1:8" ht="19.899999999999999" customHeight="1">
      <c r="A56" s="971" t="s">
        <v>57</v>
      </c>
      <c r="B56" s="326"/>
      <c r="C56" s="326"/>
      <c r="D56" s="326"/>
      <c r="E56" s="326"/>
      <c r="F56" s="343" t="s">
        <v>58</v>
      </c>
      <c r="G56" s="849">
        <v>32500</v>
      </c>
      <c r="H56" s="316"/>
    </row>
    <row r="57" spans="1:8" ht="19.899999999999999" customHeight="1">
      <c r="A57" s="971" t="s">
        <v>59</v>
      </c>
      <c r="B57" s="326"/>
      <c r="C57" s="326"/>
      <c r="D57" s="326"/>
      <c r="E57" s="326"/>
      <c r="F57" s="343" t="s">
        <v>60</v>
      </c>
      <c r="G57" s="849">
        <v>0</v>
      </c>
      <c r="H57" s="316"/>
    </row>
    <row r="58" spans="1:8" ht="19.899999999999999" customHeight="1">
      <c r="A58" s="971" t="s">
        <v>61</v>
      </c>
      <c r="B58" s="326"/>
      <c r="C58" s="326"/>
      <c r="D58" s="326"/>
      <c r="E58" s="326"/>
      <c r="F58" s="344" t="s">
        <v>62</v>
      </c>
      <c r="G58" s="849">
        <v>1168265</v>
      </c>
      <c r="H58" s="316"/>
    </row>
    <row r="59" spans="1:8" ht="19.899999999999999" customHeight="1">
      <c r="A59" s="971" t="s">
        <v>63</v>
      </c>
      <c r="B59" s="326"/>
      <c r="C59" s="326"/>
      <c r="D59" s="326"/>
      <c r="E59" s="326"/>
      <c r="F59" s="343" t="s">
        <v>64</v>
      </c>
      <c r="G59" s="849">
        <f>3000+338610+159000+171858</f>
        <v>672468</v>
      </c>
      <c r="H59" s="316"/>
    </row>
    <row r="60" spans="1:8" ht="19.899999999999999" customHeight="1">
      <c r="A60" s="971" t="s">
        <v>489</v>
      </c>
      <c r="B60" s="326"/>
      <c r="C60" s="326"/>
      <c r="D60" s="326"/>
      <c r="E60" s="326"/>
      <c r="F60" s="342" t="s">
        <v>460</v>
      </c>
      <c r="G60" s="849">
        <v>0</v>
      </c>
      <c r="H60" s="316"/>
    </row>
    <row r="61" spans="1:8" ht="19.899999999999999" customHeight="1">
      <c r="A61" s="971" t="s">
        <v>437</v>
      </c>
      <c r="B61" s="326"/>
      <c r="C61" s="326"/>
      <c r="D61" s="326"/>
      <c r="E61" s="326"/>
      <c r="F61" s="342" t="s">
        <v>430</v>
      </c>
      <c r="G61" s="849">
        <v>0</v>
      </c>
      <c r="H61" s="316"/>
    </row>
    <row r="62" spans="1:8" ht="19.899999999999999" customHeight="1">
      <c r="A62" s="970"/>
      <c r="B62" s="323"/>
      <c r="C62" s="323"/>
      <c r="D62" s="323"/>
      <c r="E62" s="323"/>
      <c r="F62" s="329"/>
      <c r="G62" s="975"/>
      <c r="H62" s="316"/>
    </row>
    <row r="63" spans="1:8" ht="19.899999999999999" customHeight="1">
      <c r="A63" s="972" t="s">
        <v>236</v>
      </c>
      <c r="B63" s="323"/>
      <c r="C63" s="323"/>
      <c r="D63" s="323"/>
      <c r="E63" s="323"/>
      <c r="F63" s="329"/>
      <c r="G63" s="976">
        <f>SUM(G44:G61)</f>
        <v>29756991</v>
      </c>
      <c r="H63" s="316"/>
    </row>
    <row r="64" spans="1:8" ht="19.899999999999999" customHeight="1">
      <c r="A64" s="970"/>
      <c r="B64" s="323"/>
      <c r="C64" s="323"/>
      <c r="D64" s="323"/>
      <c r="E64" s="323"/>
      <c r="F64" s="329"/>
      <c r="G64" s="335"/>
      <c r="H64" s="316"/>
    </row>
    <row r="65" spans="1:8" ht="19.899999999999999" customHeight="1">
      <c r="A65" s="1145" t="s">
        <v>65</v>
      </c>
      <c r="B65" s="1146"/>
      <c r="C65" s="1146"/>
      <c r="D65" s="1146"/>
      <c r="E65" s="1146"/>
      <c r="F65" s="1147"/>
      <c r="G65" s="977"/>
      <c r="H65" s="316"/>
    </row>
    <row r="66" spans="1:8" ht="19.899999999999999" customHeight="1">
      <c r="A66" s="970"/>
      <c r="B66" s="323"/>
      <c r="C66" s="323"/>
      <c r="D66" s="323"/>
      <c r="E66" s="323"/>
      <c r="F66" s="329"/>
      <c r="G66" s="335"/>
      <c r="H66" s="316"/>
    </row>
    <row r="67" spans="1:8" ht="19.899999999999999" customHeight="1">
      <c r="A67" s="970" t="s">
        <v>490</v>
      </c>
      <c r="B67" s="323"/>
      <c r="C67" s="323"/>
      <c r="D67" s="323"/>
      <c r="E67" s="323"/>
      <c r="F67" s="329" t="s">
        <v>66</v>
      </c>
      <c r="G67" s="849">
        <v>0</v>
      </c>
      <c r="H67" s="316"/>
    </row>
    <row r="68" spans="1:8" ht="19.899999999999999" customHeight="1">
      <c r="A68" s="970" t="s">
        <v>491</v>
      </c>
      <c r="B68" s="323"/>
      <c r="C68" s="323"/>
      <c r="D68" s="323"/>
      <c r="E68" s="323"/>
      <c r="F68" s="329" t="s">
        <v>67</v>
      </c>
      <c r="G68" s="849">
        <f>30515+1194000</f>
        <v>1224515</v>
      </c>
      <c r="H68" s="316"/>
    </row>
    <row r="69" spans="1:8" ht="19.899999999999999" customHeight="1">
      <c r="A69" s="970" t="s">
        <v>278</v>
      </c>
      <c r="B69" s="323"/>
      <c r="C69" s="323"/>
      <c r="D69" s="323"/>
      <c r="E69" s="323"/>
      <c r="F69" s="329" t="s">
        <v>68</v>
      </c>
      <c r="G69" s="849">
        <v>0</v>
      </c>
      <c r="H69" s="316"/>
    </row>
    <row r="70" spans="1:8" ht="19.899999999999999" customHeight="1">
      <c r="A70" s="970"/>
      <c r="B70" s="323"/>
      <c r="C70" s="323"/>
      <c r="D70" s="323"/>
      <c r="E70" s="323"/>
      <c r="F70" s="329"/>
      <c r="G70" s="978"/>
      <c r="H70" s="316"/>
    </row>
    <row r="71" spans="1:8" ht="19.899999999999999" customHeight="1">
      <c r="A71" s="972" t="s">
        <v>237</v>
      </c>
      <c r="B71" s="323"/>
      <c r="C71" s="323"/>
      <c r="D71" s="323"/>
      <c r="E71" s="323"/>
      <c r="F71" s="329"/>
      <c r="G71" s="374">
        <f>SUM(G67:G69)</f>
        <v>1224515</v>
      </c>
      <c r="H71" s="316"/>
    </row>
    <row r="72" spans="1:8" ht="19.899999999999999" customHeight="1">
      <c r="A72" s="979"/>
      <c r="B72" s="980"/>
      <c r="C72" s="980"/>
      <c r="D72" s="980"/>
      <c r="E72" s="980"/>
      <c r="F72" s="981"/>
      <c r="G72" s="982"/>
      <c r="H72" s="316"/>
    </row>
    <row r="73" spans="1:8" ht="19.899999999999999" customHeight="1">
      <c r="A73" s="1145" t="s">
        <v>69</v>
      </c>
      <c r="B73" s="1146"/>
      <c r="C73" s="1146"/>
      <c r="D73" s="1146"/>
      <c r="E73" s="1146"/>
      <c r="F73" s="1147"/>
      <c r="G73" s="983"/>
      <c r="H73" s="316"/>
    </row>
    <row r="74" spans="1:8" ht="19.899999999999999" customHeight="1">
      <c r="A74" s="970"/>
      <c r="B74" s="323"/>
      <c r="C74" s="323"/>
      <c r="D74" s="323"/>
      <c r="E74" s="323"/>
      <c r="F74" s="329"/>
      <c r="G74" s="345"/>
      <c r="H74" s="316"/>
    </row>
    <row r="75" spans="1:8" ht="19.899999999999999" customHeight="1">
      <c r="A75" s="970" t="s">
        <v>492</v>
      </c>
      <c r="B75" s="323"/>
      <c r="C75" s="323"/>
      <c r="D75" s="323"/>
      <c r="E75" s="323"/>
      <c r="F75" s="329" t="s">
        <v>0</v>
      </c>
      <c r="G75" s="1048">
        <f>'CHECK SHEET'!D102</f>
        <v>37651865</v>
      </c>
      <c r="H75" s="316"/>
    </row>
    <row r="76" spans="1:8" ht="19.899999999999999" customHeight="1">
      <c r="A76" s="970" t="s">
        <v>279</v>
      </c>
      <c r="B76" s="323"/>
      <c r="C76" s="323"/>
      <c r="D76" s="323"/>
      <c r="E76" s="323"/>
      <c r="F76" s="332">
        <v>42130</v>
      </c>
      <c r="G76" s="1049">
        <v>0</v>
      </c>
      <c r="H76" s="316"/>
    </row>
    <row r="77" spans="1:8" ht="19.899999999999999" customHeight="1">
      <c r="A77" s="984" t="s">
        <v>595</v>
      </c>
      <c r="B77" s="985"/>
      <c r="C77" s="985"/>
      <c r="D77" s="985"/>
      <c r="E77" s="985"/>
      <c r="F77" s="346" t="s">
        <v>1</v>
      </c>
      <c r="G77" s="1050">
        <v>0</v>
      </c>
      <c r="H77" s="316"/>
    </row>
    <row r="78" spans="1:8" ht="19.899999999999999" customHeight="1">
      <c r="A78" s="984" t="s">
        <v>280</v>
      </c>
      <c r="B78" s="985"/>
      <c r="C78" s="985"/>
      <c r="D78" s="985"/>
      <c r="E78" s="985"/>
      <c r="F78" s="346" t="s">
        <v>70</v>
      </c>
      <c r="G78" s="1049">
        <v>0</v>
      </c>
      <c r="H78" s="316"/>
    </row>
    <row r="79" spans="1:8" ht="19.899999999999999" customHeight="1">
      <c r="A79" s="970" t="s">
        <v>494</v>
      </c>
      <c r="B79" s="323"/>
      <c r="C79" s="323"/>
      <c r="D79" s="323"/>
      <c r="E79" s="323"/>
      <c r="F79" s="329" t="s">
        <v>71</v>
      </c>
      <c r="G79" s="1049">
        <v>0</v>
      </c>
      <c r="H79" s="316"/>
    </row>
    <row r="80" spans="1:8" ht="19.899999999999999" customHeight="1">
      <c r="A80" s="970" t="s">
        <v>596</v>
      </c>
      <c r="B80" s="323"/>
      <c r="C80" s="323"/>
      <c r="D80" s="323"/>
      <c r="E80" s="323"/>
      <c r="F80" s="329" t="s">
        <v>72</v>
      </c>
      <c r="G80" s="1049">
        <v>0</v>
      </c>
      <c r="H80" s="316"/>
    </row>
    <row r="81" spans="1:10" ht="19.899999999999999" customHeight="1">
      <c r="A81" s="970" t="s">
        <v>601</v>
      </c>
      <c r="B81" s="323"/>
      <c r="C81" s="323"/>
      <c r="D81" s="323"/>
      <c r="E81" s="323"/>
      <c r="F81" s="329" t="s">
        <v>73</v>
      </c>
      <c r="G81" s="1048">
        <f>'CHECK SHEET'!D104</f>
        <v>12275578</v>
      </c>
      <c r="H81" s="316"/>
    </row>
    <row r="82" spans="1:10" ht="19.899999999999999" customHeight="1">
      <c r="A82" s="986" t="s">
        <v>493</v>
      </c>
      <c r="B82" s="987"/>
      <c r="C82" s="987"/>
      <c r="D82" s="987"/>
      <c r="E82" s="987"/>
      <c r="F82" s="345" t="s">
        <v>74</v>
      </c>
      <c r="G82" s="1049">
        <v>0</v>
      </c>
      <c r="H82" s="316"/>
    </row>
    <row r="83" spans="1:10" ht="19.899999999999999" customHeight="1">
      <c r="A83" s="970" t="s">
        <v>281</v>
      </c>
      <c r="B83" s="323"/>
      <c r="C83" s="323"/>
      <c r="D83" s="323"/>
      <c r="E83" s="323"/>
      <c r="F83" s="329" t="s">
        <v>75</v>
      </c>
      <c r="G83" s="1049">
        <v>0</v>
      </c>
      <c r="H83" s="316"/>
    </row>
    <row r="84" spans="1:10" ht="19.899999999999999" customHeight="1">
      <c r="A84" s="970"/>
      <c r="B84" s="323"/>
      <c r="C84" s="323"/>
      <c r="D84" s="323"/>
      <c r="E84" s="323"/>
      <c r="F84" s="329"/>
      <c r="G84" s="988"/>
      <c r="H84" s="316"/>
    </row>
    <row r="85" spans="1:10" ht="19.899999999999999" customHeight="1">
      <c r="A85" s="972" t="s">
        <v>238</v>
      </c>
      <c r="B85" s="323"/>
      <c r="C85" s="323"/>
      <c r="D85" s="323"/>
      <c r="E85" s="323"/>
      <c r="F85" s="329"/>
      <c r="G85" s="375">
        <f>SUM(G75:G83)</f>
        <v>49927443</v>
      </c>
      <c r="H85" s="316"/>
    </row>
    <row r="86" spans="1:10" ht="19.899999999999999" customHeight="1">
      <c r="A86" s="979"/>
      <c r="B86" s="980"/>
      <c r="C86" s="980"/>
      <c r="D86" s="980"/>
      <c r="E86" s="980"/>
      <c r="F86" s="981"/>
      <c r="G86" s="982"/>
      <c r="H86" s="316"/>
    </row>
    <row r="87" spans="1:10" ht="19.899999999999999" customHeight="1">
      <c r="A87" s="1148" t="s">
        <v>76</v>
      </c>
      <c r="B87" s="1149"/>
      <c r="C87" s="1149"/>
      <c r="D87" s="1149"/>
      <c r="E87" s="1149"/>
      <c r="F87" s="1150"/>
      <c r="G87" s="983"/>
      <c r="H87" s="316"/>
    </row>
    <row r="88" spans="1:10" ht="19.899999999999999" customHeight="1">
      <c r="A88" s="970"/>
      <c r="B88" s="323"/>
      <c r="C88" s="323"/>
      <c r="D88" s="323"/>
      <c r="E88" s="323"/>
      <c r="F88" s="329"/>
      <c r="G88" s="345"/>
      <c r="H88" s="316"/>
    </row>
    <row r="89" spans="1:10" ht="19.899999999999999" customHeight="1">
      <c r="A89" s="970" t="s">
        <v>282</v>
      </c>
      <c r="B89" s="323"/>
      <c r="C89" s="323"/>
      <c r="D89" s="323"/>
      <c r="E89" s="323"/>
      <c r="F89" s="329" t="s">
        <v>77</v>
      </c>
      <c r="G89" s="941">
        <v>0</v>
      </c>
      <c r="H89" s="316"/>
    </row>
    <row r="90" spans="1:10" ht="19.899999999999999" customHeight="1">
      <c r="A90" s="971" t="s">
        <v>283</v>
      </c>
      <c r="B90" s="326"/>
      <c r="C90" s="326"/>
      <c r="D90" s="326"/>
      <c r="E90" s="326"/>
      <c r="F90" s="327">
        <v>43518</v>
      </c>
      <c r="G90" s="1051">
        <v>0</v>
      </c>
      <c r="H90" s="316"/>
      <c r="J90" s="347"/>
    </row>
    <row r="91" spans="1:10" ht="19.899999999999999" customHeight="1">
      <c r="A91" s="971" t="s">
        <v>284</v>
      </c>
      <c r="B91" s="326"/>
      <c r="C91" s="326"/>
      <c r="D91" s="326"/>
      <c r="E91" s="326"/>
      <c r="F91" s="327">
        <v>43519</v>
      </c>
      <c r="G91" s="1051">
        <v>0</v>
      </c>
      <c r="H91" s="316"/>
    </row>
    <row r="92" spans="1:10" ht="19.899999999999999" customHeight="1">
      <c r="A92" s="970" t="s">
        <v>285</v>
      </c>
      <c r="B92" s="323"/>
      <c r="C92" s="323"/>
      <c r="D92" s="323"/>
      <c r="E92" s="323"/>
      <c r="F92" s="329" t="s">
        <v>78</v>
      </c>
      <c r="G92" s="849">
        <v>150000</v>
      </c>
      <c r="H92" s="316"/>
    </row>
    <row r="93" spans="1:10" ht="19.899999999999999" customHeight="1">
      <c r="A93" s="989"/>
      <c r="B93" s="990"/>
      <c r="C93" s="990"/>
      <c r="D93" s="990"/>
      <c r="E93" s="990"/>
      <c r="F93" s="991"/>
      <c r="G93" s="992"/>
      <c r="H93" s="316"/>
    </row>
    <row r="94" spans="1:10" ht="19.899999999999999" customHeight="1">
      <c r="A94" s="972" t="s">
        <v>239</v>
      </c>
      <c r="B94" s="323"/>
      <c r="C94" s="323"/>
      <c r="D94" s="323"/>
      <c r="E94" s="323"/>
      <c r="F94" s="348"/>
      <c r="G94" s="993">
        <f>SUM(G89:G92)</f>
        <v>150000</v>
      </c>
      <c r="H94" s="316"/>
    </row>
    <row r="95" spans="1:10" ht="19.899999999999999" customHeight="1">
      <c r="A95" s="970"/>
      <c r="B95" s="323"/>
      <c r="C95" s="323"/>
      <c r="D95" s="323"/>
      <c r="E95" s="323"/>
      <c r="F95" s="329"/>
      <c r="G95" s="349"/>
      <c r="H95" s="316"/>
    </row>
    <row r="96" spans="1:10" ht="19.899999999999999" customHeight="1">
      <c r="A96" s="1151" t="s">
        <v>79</v>
      </c>
      <c r="B96" s="1152"/>
      <c r="C96" s="1152"/>
      <c r="D96" s="1152"/>
      <c r="E96" s="1152"/>
      <c r="F96" s="1153"/>
      <c r="G96" s="1045"/>
      <c r="H96" s="316"/>
    </row>
    <row r="97" spans="1:8" ht="19.899999999999999" customHeight="1">
      <c r="A97" s="970"/>
      <c r="B97" s="323"/>
      <c r="C97" s="323"/>
      <c r="D97" s="323"/>
      <c r="E97" s="323"/>
      <c r="F97" s="329"/>
      <c r="G97" s="349"/>
      <c r="H97" s="316"/>
    </row>
    <row r="98" spans="1:8" ht="19.899999999999999" customHeight="1">
      <c r="A98" s="970" t="s">
        <v>286</v>
      </c>
      <c r="B98" s="323"/>
      <c r="C98" s="323"/>
      <c r="D98" s="323"/>
      <c r="E98" s="323"/>
      <c r="F98" s="329" t="s">
        <v>80</v>
      </c>
      <c r="G98" s="852">
        <v>0</v>
      </c>
      <c r="H98" s="316"/>
    </row>
    <row r="99" spans="1:8" ht="19.899999999999999" customHeight="1">
      <c r="A99" s="970" t="s">
        <v>289</v>
      </c>
      <c r="B99" s="323"/>
      <c r="C99" s="323"/>
      <c r="D99" s="323"/>
      <c r="E99" s="323"/>
      <c r="F99" s="329" t="s">
        <v>81</v>
      </c>
      <c r="G99" s="850">
        <v>0</v>
      </c>
      <c r="H99" s="316"/>
    </row>
    <row r="100" spans="1:8" ht="19.899999999999999" customHeight="1">
      <c r="A100" s="971" t="s">
        <v>288</v>
      </c>
      <c r="B100" s="326"/>
      <c r="C100" s="326"/>
      <c r="D100" s="326"/>
      <c r="E100" s="326"/>
      <c r="F100" s="350">
        <v>44400</v>
      </c>
      <c r="G100" s="851">
        <v>8000</v>
      </c>
      <c r="H100" s="316"/>
    </row>
    <row r="101" spans="1:8" ht="19.899999999999999" customHeight="1">
      <c r="A101" s="970" t="s">
        <v>287</v>
      </c>
      <c r="B101" s="323"/>
      <c r="C101" s="323"/>
      <c r="D101" s="323"/>
      <c r="E101" s="323"/>
      <c r="F101" s="329" t="s">
        <v>82</v>
      </c>
      <c r="G101" s="850">
        <v>0</v>
      </c>
      <c r="H101" s="316"/>
    </row>
    <row r="102" spans="1:8" ht="19.899999999999999" customHeight="1">
      <c r="A102" s="970"/>
      <c r="B102" s="323"/>
      <c r="C102" s="323"/>
      <c r="D102" s="323"/>
      <c r="E102" s="323"/>
      <c r="F102" s="329"/>
      <c r="G102" s="994"/>
      <c r="H102" s="316"/>
    </row>
    <row r="103" spans="1:8" ht="19.899999999999999" customHeight="1">
      <c r="A103" s="972" t="s">
        <v>240</v>
      </c>
      <c r="B103" s="323"/>
      <c r="C103" s="323"/>
      <c r="D103" s="323"/>
      <c r="E103" s="323"/>
      <c r="F103" s="329"/>
      <c r="G103" s="993">
        <f>SUM(G98:G101)</f>
        <v>8000</v>
      </c>
      <c r="H103" s="316"/>
    </row>
    <row r="104" spans="1:8" ht="19.899999999999999" customHeight="1">
      <c r="A104" s="970"/>
      <c r="B104" s="323"/>
      <c r="C104" s="323"/>
      <c r="D104" s="323"/>
      <c r="E104" s="323"/>
      <c r="F104" s="329"/>
      <c r="G104" s="349"/>
      <c r="H104" s="316"/>
    </row>
    <row r="105" spans="1:8" ht="19.899999999999999" customHeight="1">
      <c r="A105" s="1154" t="s">
        <v>83</v>
      </c>
      <c r="B105" s="1155"/>
      <c r="C105" s="1155"/>
      <c r="D105" s="1155"/>
      <c r="E105" s="1155"/>
      <c r="F105" s="1156"/>
      <c r="G105" s="995"/>
      <c r="H105" s="316"/>
    </row>
    <row r="106" spans="1:8" ht="19.899999999999999" customHeight="1">
      <c r="A106" s="970"/>
      <c r="B106" s="323"/>
      <c r="C106" s="323"/>
      <c r="D106" s="323"/>
      <c r="E106" s="323"/>
      <c r="F106" s="329"/>
      <c r="G106" s="349"/>
      <c r="H106" s="316"/>
    </row>
    <row r="107" spans="1:8" ht="19.899999999999999" customHeight="1">
      <c r="A107" s="970" t="s">
        <v>290</v>
      </c>
      <c r="B107" s="323"/>
      <c r="C107" s="323"/>
      <c r="D107" s="323"/>
      <c r="E107" s="323"/>
      <c r="F107" s="329" t="s">
        <v>84</v>
      </c>
      <c r="G107" s="852">
        <v>0</v>
      </c>
      <c r="H107" s="316"/>
    </row>
    <row r="108" spans="1:8" ht="19.899999999999999" customHeight="1">
      <c r="A108" s="970" t="s">
        <v>291</v>
      </c>
      <c r="B108" s="323"/>
      <c r="C108" s="323"/>
      <c r="D108" s="323"/>
      <c r="E108" s="323"/>
      <c r="F108" s="329" t="s">
        <v>85</v>
      </c>
      <c r="G108" s="942">
        <v>796194</v>
      </c>
      <c r="H108" s="316"/>
    </row>
    <row r="109" spans="1:8" ht="19.899999999999999" customHeight="1">
      <c r="A109" s="970" t="s">
        <v>292</v>
      </c>
      <c r="B109" s="323"/>
      <c r="C109" s="323"/>
      <c r="D109" s="323"/>
      <c r="E109" s="323"/>
      <c r="F109" s="329" t="s">
        <v>86</v>
      </c>
      <c r="G109" s="942">
        <f>48000+18000+311995</f>
        <v>377995</v>
      </c>
      <c r="H109" s="316"/>
    </row>
    <row r="110" spans="1:8" ht="19.899999999999999" customHeight="1">
      <c r="A110" s="970" t="s">
        <v>293</v>
      </c>
      <c r="B110" s="323"/>
      <c r="C110" s="323"/>
      <c r="D110" s="323"/>
      <c r="E110" s="323"/>
      <c r="F110" s="329" t="s">
        <v>87</v>
      </c>
      <c r="G110" s="942">
        <f>7000+33000</f>
        <v>40000</v>
      </c>
      <c r="H110" s="316"/>
    </row>
    <row r="111" spans="1:8" ht="19.899999999999999" customHeight="1">
      <c r="A111" s="970" t="s">
        <v>294</v>
      </c>
      <c r="B111" s="323"/>
      <c r="C111" s="323"/>
      <c r="D111" s="323"/>
      <c r="E111" s="323"/>
      <c r="F111" s="329" t="s">
        <v>88</v>
      </c>
      <c r="G111" s="942">
        <v>0</v>
      </c>
      <c r="H111" s="316"/>
    </row>
    <row r="112" spans="1:8" ht="19.899999999999999" customHeight="1">
      <c r="A112" s="970"/>
      <c r="B112" s="323"/>
      <c r="C112" s="323"/>
      <c r="D112" s="323"/>
      <c r="E112" s="323"/>
      <c r="F112" s="329"/>
      <c r="G112" s="996"/>
      <c r="H112" s="316"/>
    </row>
    <row r="113" spans="1:8" ht="19.899999999999999" customHeight="1">
      <c r="A113" s="997" t="s">
        <v>241</v>
      </c>
      <c r="B113" s="998"/>
      <c r="C113" s="998"/>
      <c r="D113" s="998"/>
      <c r="E113" s="998"/>
      <c r="F113" s="999"/>
      <c r="G113" s="993">
        <f>SUM(G107:G111)</f>
        <v>1214189</v>
      </c>
      <c r="H113" s="316"/>
    </row>
    <row r="114" spans="1:8" ht="19.899999999999999" customHeight="1">
      <c r="A114" s="970"/>
      <c r="B114" s="323"/>
      <c r="C114" s="323"/>
      <c r="D114" s="323"/>
      <c r="E114" s="323"/>
      <c r="F114" s="1000"/>
      <c r="G114" s="1001"/>
      <c r="H114" s="316"/>
    </row>
    <row r="115" spans="1:8" ht="19.899999999999999" customHeight="1">
      <c r="A115" s="1002" t="s">
        <v>89</v>
      </c>
      <c r="B115" s="1003"/>
      <c r="C115" s="1003"/>
      <c r="D115" s="1003"/>
      <c r="E115" s="1003"/>
      <c r="F115" s="1004" t="s">
        <v>90</v>
      </c>
      <c r="G115" s="1005">
        <v>0</v>
      </c>
      <c r="H115" s="316"/>
    </row>
    <row r="116" spans="1:8" ht="19.899999999999999" customHeight="1">
      <c r="A116" s="1006"/>
      <c r="B116" s="316"/>
      <c r="C116" s="316"/>
      <c r="D116" s="316"/>
      <c r="E116" s="316"/>
      <c r="F116" s="351"/>
      <c r="G116" s="352"/>
      <c r="H116" s="316"/>
    </row>
    <row r="117" spans="1:8" ht="19.899999999999999" customHeight="1">
      <c r="A117" s="972" t="s">
        <v>242</v>
      </c>
      <c r="B117" s="316"/>
      <c r="C117" s="323"/>
      <c r="D117" s="323"/>
      <c r="E117" s="316"/>
      <c r="F117" s="351"/>
      <c r="G117" s="993">
        <f>G115</f>
        <v>0</v>
      </c>
      <c r="H117" s="316"/>
    </row>
    <row r="118" spans="1:8" ht="19.899999999999999" customHeight="1">
      <c r="A118" s="1006"/>
      <c r="B118" s="316"/>
      <c r="C118" s="316"/>
      <c r="D118" s="316"/>
      <c r="E118" s="316"/>
      <c r="F118" s="351"/>
      <c r="G118" s="349"/>
      <c r="H118" s="316"/>
    </row>
    <row r="119" spans="1:8" ht="19.899999999999999" customHeight="1">
      <c r="A119" s="1151" t="s">
        <v>91</v>
      </c>
      <c r="B119" s="1152"/>
      <c r="C119" s="1152"/>
      <c r="D119" s="1152"/>
      <c r="E119" s="1152"/>
      <c r="F119" s="1153"/>
      <c r="G119" s="1045"/>
      <c r="H119" s="316"/>
    </row>
    <row r="120" spans="1:8" ht="19.899999999999999" customHeight="1">
      <c r="A120" s="970"/>
      <c r="B120" s="323"/>
      <c r="C120" s="323"/>
      <c r="D120" s="323"/>
      <c r="E120" s="323"/>
      <c r="F120" s="329"/>
      <c r="G120" s="349"/>
      <c r="H120" s="316"/>
    </row>
    <row r="121" spans="1:8" ht="19.899999999999999" customHeight="1">
      <c r="A121" s="970" t="s">
        <v>295</v>
      </c>
      <c r="B121" s="323"/>
      <c r="C121" s="323"/>
      <c r="D121" s="323"/>
      <c r="E121" s="323"/>
      <c r="F121" s="329" t="s">
        <v>92</v>
      </c>
      <c r="G121" s="941">
        <v>520000</v>
      </c>
      <c r="H121" s="316"/>
    </row>
    <row r="122" spans="1:8" ht="19.899999999999999" customHeight="1">
      <c r="A122" s="970" t="s">
        <v>296</v>
      </c>
      <c r="B122" s="323"/>
      <c r="C122" s="323"/>
      <c r="D122" s="323"/>
      <c r="E122" s="323"/>
      <c r="F122" s="329" t="s">
        <v>93</v>
      </c>
      <c r="G122" s="942">
        <v>0</v>
      </c>
      <c r="H122" s="316"/>
    </row>
    <row r="123" spans="1:8" ht="19.899999999999999" customHeight="1">
      <c r="A123" s="970" t="s">
        <v>297</v>
      </c>
      <c r="B123" s="323"/>
      <c r="C123" s="323"/>
      <c r="D123" s="323"/>
      <c r="E123" s="323"/>
      <c r="F123" s="329" t="s">
        <v>94</v>
      </c>
      <c r="G123" s="942">
        <v>1500</v>
      </c>
      <c r="H123" s="316"/>
    </row>
    <row r="124" spans="1:8" ht="19.899999999999999" customHeight="1">
      <c r="A124" s="970" t="s">
        <v>298</v>
      </c>
      <c r="B124" s="323"/>
      <c r="C124" s="323"/>
      <c r="D124" s="323"/>
      <c r="E124" s="323"/>
      <c r="F124" s="329" t="s">
        <v>95</v>
      </c>
      <c r="G124" s="942">
        <f>722350+150000</f>
        <v>872350</v>
      </c>
      <c r="H124" s="316"/>
    </row>
    <row r="125" spans="1:8" ht="19.899999999999999" customHeight="1">
      <c r="A125" s="970"/>
      <c r="B125" s="323"/>
      <c r="C125" s="323"/>
      <c r="D125" s="323"/>
      <c r="E125" s="323"/>
      <c r="F125" s="329"/>
      <c r="G125" s="996"/>
      <c r="H125" s="316"/>
    </row>
    <row r="126" spans="1:8" ht="19.899999999999999" customHeight="1">
      <c r="A126" s="972" t="s">
        <v>243</v>
      </c>
      <c r="B126" s="323"/>
      <c r="C126" s="323"/>
      <c r="D126" s="323"/>
      <c r="E126" s="323"/>
      <c r="F126" s="329"/>
      <c r="G126" s="993">
        <f>SUM(G121:G124)</f>
        <v>1393850</v>
      </c>
      <c r="H126" s="316"/>
    </row>
    <row r="127" spans="1:8" ht="19.899999999999999" customHeight="1">
      <c r="A127" s="970"/>
      <c r="B127" s="323"/>
      <c r="C127" s="323"/>
      <c r="D127" s="323"/>
      <c r="E127" s="323"/>
      <c r="F127" s="329"/>
      <c r="G127" s="349"/>
      <c r="H127" s="316"/>
    </row>
    <row r="128" spans="1:8" ht="19.899999999999999" customHeight="1">
      <c r="A128" s="1157" t="s">
        <v>96</v>
      </c>
      <c r="B128" s="1158"/>
      <c r="C128" s="1158"/>
      <c r="D128" s="1158"/>
      <c r="E128" s="1158"/>
      <c r="F128" s="1159"/>
      <c r="G128" s="1007"/>
      <c r="H128" s="316"/>
    </row>
    <row r="129" spans="1:8" ht="19.899999999999999" customHeight="1">
      <c r="A129" s="970"/>
      <c r="B129" s="323"/>
      <c r="C129" s="323"/>
      <c r="D129" s="323"/>
      <c r="E129" s="323"/>
      <c r="F129" s="329"/>
      <c r="G129" s="349"/>
      <c r="H129" s="316"/>
    </row>
    <row r="130" spans="1:8" ht="19.899999999999999" customHeight="1">
      <c r="A130" s="970" t="s">
        <v>438</v>
      </c>
      <c r="B130" s="323"/>
      <c r="C130" s="323"/>
      <c r="D130" s="1008"/>
      <c r="E130" s="1009"/>
      <c r="F130" s="346" t="s">
        <v>97</v>
      </c>
      <c r="G130" s="852">
        <v>0</v>
      </c>
      <c r="H130" s="316"/>
    </row>
    <row r="131" spans="1:8" ht="19.899999999999999" customHeight="1">
      <c r="A131" s="970" t="s">
        <v>445</v>
      </c>
      <c r="B131" s="323"/>
      <c r="C131" s="323"/>
      <c r="D131" s="1008"/>
      <c r="E131" s="1009"/>
      <c r="F131" s="346" t="s">
        <v>98</v>
      </c>
      <c r="G131" s="850">
        <v>0</v>
      </c>
      <c r="H131" s="316"/>
    </row>
    <row r="132" spans="1:8" ht="19.899999999999999" customHeight="1">
      <c r="A132" s="971" t="s">
        <v>446</v>
      </c>
      <c r="B132" s="326"/>
      <c r="C132" s="326"/>
      <c r="D132" s="1010"/>
      <c r="E132" s="341"/>
      <c r="F132" s="353">
        <v>49230</v>
      </c>
      <c r="G132" s="943">
        <v>650000</v>
      </c>
      <c r="H132" s="316"/>
    </row>
    <row r="133" spans="1:8" ht="19.899999999999999" customHeight="1">
      <c r="A133" s="971" t="s">
        <v>447</v>
      </c>
      <c r="B133" s="326"/>
      <c r="C133" s="326"/>
      <c r="D133" s="1010"/>
      <c r="E133" s="341"/>
      <c r="F133" s="353">
        <v>49240</v>
      </c>
      <c r="G133" s="850">
        <v>0</v>
      </c>
      <c r="H133" s="316"/>
    </row>
    <row r="134" spans="1:8" ht="19.899999999999999" customHeight="1">
      <c r="A134" s="970" t="s">
        <v>299</v>
      </c>
      <c r="B134" s="323"/>
      <c r="C134" s="323"/>
      <c r="D134" s="323"/>
      <c r="E134" s="323"/>
      <c r="F134" s="329" t="s">
        <v>99</v>
      </c>
      <c r="G134" s="850">
        <v>0</v>
      </c>
      <c r="H134" s="316"/>
    </row>
    <row r="135" spans="1:8" ht="19.899999999999999" customHeight="1">
      <c r="A135" s="970" t="s">
        <v>300</v>
      </c>
      <c r="B135" s="323"/>
      <c r="C135" s="323"/>
      <c r="D135" s="323"/>
      <c r="E135" s="323"/>
      <c r="F135" s="332">
        <v>49520</v>
      </c>
      <c r="G135" s="850">
        <v>0</v>
      </c>
      <c r="H135" s="316"/>
    </row>
    <row r="136" spans="1:8" ht="19.899999999999999" customHeight="1">
      <c r="A136" s="970" t="s">
        <v>301</v>
      </c>
      <c r="B136" s="323"/>
      <c r="C136" s="323"/>
      <c r="D136" s="323"/>
      <c r="E136" s="323"/>
      <c r="F136" s="329" t="s">
        <v>100</v>
      </c>
      <c r="G136" s="850">
        <v>0</v>
      </c>
      <c r="H136" s="316"/>
    </row>
    <row r="137" spans="1:8" ht="19.899999999999999" customHeight="1">
      <c r="A137" s="970" t="s">
        <v>302</v>
      </c>
      <c r="B137" s="323"/>
      <c r="C137" s="323"/>
      <c r="D137" s="323"/>
      <c r="E137" s="323"/>
      <c r="F137" s="329" t="s">
        <v>101</v>
      </c>
      <c r="G137" s="850">
        <v>0</v>
      </c>
      <c r="H137" s="316"/>
    </row>
    <row r="138" spans="1:8" ht="19.899999999999999" customHeight="1">
      <c r="A138" s="970"/>
      <c r="B138" s="323"/>
      <c r="C138" s="323"/>
      <c r="D138" s="323"/>
      <c r="E138" s="323"/>
      <c r="F138" s="329"/>
      <c r="G138" s="1011"/>
      <c r="H138" s="316"/>
    </row>
    <row r="139" spans="1:8" ht="19.899999999999999" customHeight="1">
      <c r="A139" s="972" t="s">
        <v>244</v>
      </c>
      <c r="B139" s="323"/>
      <c r="C139" s="323"/>
      <c r="D139" s="323"/>
      <c r="E139" s="323"/>
      <c r="F139" s="329"/>
      <c r="G139" s="993">
        <f>SUM(G130:G137)</f>
        <v>650000</v>
      </c>
      <c r="H139" s="316"/>
    </row>
    <row r="140" spans="1:8" ht="19.899999999999999" customHeight="1">
      <c r="A140" s="970"/>
      <c r="B140" s="323"/>
      <c r="C140" s="323"/>
      <c r="D140" s="323"/>
      <c r="E140" s="323"/>
      <c r="F140" s="329"/>
      <c r="G140" s="349"/>
      <c r="H140" s="316"/>
    </row>
    <row r="141" spans="1:8" ht="19.899999999999999" customHeight="1" thickBot="1">
      <c r="A141" s="1055" t="s">
        <v>102</v>
      </c>
      <c r="B141" s="1056"/>
      <c r="C141" s="1056"/>
      <c r="D141" s="1056"/>
      <c r="E141" s="1056"/>
      <c r="F141" s="1057"/>
      <c r="G141" s="1059">
        <f>G63+G71+G85+G94+G103+G113+G117+G126+G139</f>
        <v>84324988</v>
      </c>
      <c r="H141" s="316"/>
    </row>
    <row r="142" spans="1:8" ht="19.899999999999999" customHeight="1" thickTop="1">
      <c r="A142" s="979"/>
      <c r="B142" s="980"/>
      <c r="C142" s="980"/>
      <c r="D142" s="980"/>
      <c r="E142" s="980"/>
      <c r="F142" s="1012"/>
      <c r="G142" s="1052"/>
      <c r="H142" s="316"/>
    </row>
    <row r="143" spans="1:8" ht="19.899999999999999" customHeight="1">
      <c r="A143" s="1157" t="s">
        <v>103</v>
      </c>
      <c r="B143" s="1158"/>
      <c r="C143" s="1158"/>
      <c r="D143" s="1158"/>
      <c r="E143" s="1158"/>
      <c r="F143" s="1159"/>
      <c r="G143" s="1013"/>
      <c r="H143" s="316"/>
    </row>
    <row r="144" spans="1:8" ht="19.899999999999999" customHeight="1">
      <c r="A144" s="970"/>
      <c r="B144" s="323"/>
      <c r="C144" s="323"/>
      <c r="D144" s="323"/>
      <c r="E144" s="323"/>
      <c r="F144" s="329"/>
      <c r="G144" s="354"/>
      <c r="H144" s="316"/>
    </row>
    <row r="145" spans="1:8" ht="19.899999999999999" customHeight="1">
      <c r="A145" s="970" t="s">
        <v>303</v>
      </c>
      <c r="B145" s="323"/>
      <c r="C145" s="323"/>
      <c r="D145" s="323"/>
      <c r="E145" s="323"/>
      <c r="F145" s="329" t="s">
        <v>104</v>
      </c>
      <c r="G145" s="853">
        <v>610440</v>
      </c>
      <c r="H145" s="316"/>
    </row>
    <row r="146" spans="1:8" ht="19.899999999999999" customHeight="1">
      <c r="A146" s="970" t="s">
        <v>304</v>
      </c>
      <c r="B146" s="316"/>
      <c r="C146" s="316"/>
      <c r="D146" s="316"/>
      <c r="E146" s="316"/>
      <c r="F146" s="329" t="s">
        <v>105</v>
      </c>
      <c r="G146" s="854">
        <v>1115600</v>
      </c>
      <c r="H146" s="316"/>
    </row>
    <row r="147" spans="1:8" ht="19.899999999999999" customHeight="1">
      <c r="A147" s="970" t="s">
        <v>306</v>
      </c>
      <c r="B147" s="316"/>
      <c r="C147" s="316"/>
      <c r="D147" s="316"/>
      <c r="E147" s="316"/>
      <c r="F147" s="329" t="s">
        <v>106</v>
      </c>
      <c r="G147" s="854">
        <f>3465713+126000</f>
        <v>3591713</v>
      </c>
      <c r="H147" s="316"/>
    </row>
    <row r="148" spans="1:8" ht="19.899999999999999" customHeight="1">
      <c r="A148" s="970" t="s">
        <v>305</v>
      </c>
      <c r="B148" s="316"/>
      <c r="C148" s="316"/>
      <c r="D148" s="316"/>
      <c r="E148" s="316"/>
      <c r="F148" s="329" t="s">
        <v>107</v>
      </c>
      <c r="G148" s="854">
        <v>0</v>
      </c>
      <c r="H148" s="316"/>
    </row>
    <row r="149" spans="1:8" ht="19.899999999999999" customHeight="1">
      <c r="A149" s="970" t="s">
        <v>307</v>
      </c>
      <c r="B149" s="316"/>
      <c r="C149" s="316"/>
      <c r="D149" s="316"/>
      <c r="E149" s="316"/>
      <c r="F149" s="329" t="s">
        <v>108</v>
      </c>
      <c r="G149" s="854">
        <v>0</v>
      </c>
      <c r="H149" s="316"/>
    </row>
    <row r="150" spans="1:8" ht="19.899999999999999" customHeight="1">
      <c r="A150" s="970" t="s">
        <v>308</v>
      </c>
      <c r="B150" s="323"/>
      <c r="C150" s="323"/>
      <c r="D150" s="323"/>
      <c r="E150" s="323"/>
      <c r="F150" s="329" t="s">
        <v>109</v>
      </c>
      <c r="G150" s="854">
        <f>19315220+361200+1500000+44000+205000</f>
        <v>21425420</v>
      </c>
      <c r="H150" s="316"/>
    </row>
    <row r="151" spans="1:8" ht="19.899999999999999" customHeight="1">
      <c r="A151" s="970" t="s">
        <v>408</v>
      </c>
      <c r="B151" s="323"/>
      <c r="C151" s="323"/>
      <c r="D151" s="323"/>
      <c r="E151" s="323"/>
      <c r="F151" s="329" t="s">
        <v>110</v>
      </c>
      <c r="G151" s="854">
        <f>2200000+150000</f>
        <v>2350000</v>
      </c>
      <c r="H151" s="316"/>
    </row>
    <row r="152" spans="1:8" ht="19.899999999999999" customHeight="1">
      <c r="A152" s="970" t="s">
        <v>309</v>
      </c>
      <c r="B152" s="323"/>
      <c r="C152" s="323"/>
      <c r="D152" s="323"/>
      <c r="E152" s="323"/>
      <c r="F152" s="329" t="s">
        <v>111</v>
      </c>
      <c r="G152" s="854">
        <v>30000</v>
      </c>
      <c r="H152" s="316"/>
    </row>
    <row r="153" spans="1:8" ht="19.899999999999999" customHeight="1">
      <c r="A153" s="970" t="s">
        <v>310</v>
      </c>
      <c r="B153" s="323"/>
      <c r="C153" s="323"/>
      <c r="D153" s="323"/>
      <c r="E153" s="323"/>
      <c r="F153" s="329" t="s">
        <v>112</v>
      </c>
      <c r="G153" s="854">
        <v>0</v>
      </c>
      <c r="H153" s="316"/>
    </row>
    <row r="154" spans="1:8" ht="19.899999999999999" customHeight="1">
      <c r="A154" s="970" t="s">
        <v>311</v>
      </c>
      <c r="B154" s="323"/>
      <c r="C154" s="323"/>
      <c r="D154" s="323"/>
      <c r="E154" s="323"/>
      <c r="F154" s="329" t="s">
        <v>113</v>
      </c>
      <c r="G154" s="854">
        <v>0</v>
      </c>
      <c r="H154" s="316"/>
    </row>
    <row r="155" spans="1:8" ht="19.899999999999999" customHeight="1">
      <c r="A155" s="970" t="s">
        <v>399</v>
      </c>
      <c r="B155" s="323"/>
      <c r="C155" s="323"/>
      <c r="D155" s="323"/>
      <c r="E155" s="323"/>
      <c r="F155" s="332">
        <v>52500</v>
      </c>
      <c r="G155" s="854">
        <v>0</v>
      </c>
      <c r="H155" s="316"/>
    </row>
    <row r="156" spans="1:8" ht="19.899999999999999" customHeight="1">
      <c r="A156" s="970" t="s">
        <v>393</v>
      </c>
      <c r="B156" s="323"/>
      <c r="C156" s="323"/>
      <c r="D156" s="323"/>
      <c r="E156" s="323"/>
      <c r="F156" s="329" t="s">
        <v>114</v>
      </c>
      <c r="G156" s="854">
        <v>0</v>
      </c>
      <c r="H156" s="316"/>
    </row>
    <row r="157" spans="1:8" ht="19.899999999999999" customHeight="1">
      <c r="A157" s="970" t="s">
        <v>312</v>
      </c>
      <c r="B157" s="323"/>
      <c r="C157" s="323"/>
      <c r="D157" s="323"/>
      <c r="E157" s="323"/>
      <c r="F157" s="329" t="s">
        <v>115</v>
      </c>
      <c r="G157" s="854">
        <v>0</v>
      </c>
      <c r="H157" s="316"/>
    </row>
    <row r="158" spans="1:8" ht="19.899999999999999" customHeight="1">
      <c r="A158" s="970" t="s">
        <v>313</v>
      </c>
      <c r="B158" s="323"/>
      <c r="C158" s="323"/>
      <c r="D158" s="323"/>
      <c r="E158" s="323"/>
      <c r="F158" s="329" t="s">
        <v>116</v>
      </c>
      <c r="G158" s="854">
        <v>0</v>
      </c>
      <c r="H158" s="316"/>
    </row>
    <row r="159" spans="1:8" ht="19.899999999999999" customHeight="1">
      <c r="A159" s="970" t="s">
        <v>394</v>
      </c>
      <c r="B159" s="323"/>
      <c r="C159" s="323"/>
      <c r="D159" s="323"/>
      <c r="E159" s="323"/>
      <c r="F159" s="329" t="s">
        <v>117</v>
      </c>
      <c r="G159" s="854">
        <v>0</v>
      </c>
      <c r="H159" s="316"/>
    </row>
    <row r="160" spans="1:8" ht="19.899999999999999" customHeight="1">
      <c r="A160" s="970" t="s">
        <v>314</v>
      </c>
      <c r="B160" s="323"/>
      <c r="C160" s="323"/>
      <c r="D160" s="323"/>
      <c r="E160" s="323"/>
      <c r="F160" s="329" t="s">
        <v>118</v>
      </c>
      <c r="G160" s="854">
        <v>9428843</v>
      </c>
      <c r="H160" s="316"/>
    </row>
    <row r="161" spans="1:8" ht="19.899999999999999" customHeight="1">
      <c r="A161" s="970" t="s">
        <v>409</v>
      </c>
      <c r="B161" s="323"/>
      <c r="C161" s="323"/>
      <c r="D161" s="323"/>
      <c r="E161" s="323"/>
      <c r="F161" s="329" t="s">
        <v>119</v>
      </c>
      <c r="G161" s="854">
        <v>0</v>
      </c>
      <c r="H161" s="316"/>
    </row>
    <row r="162" spans="1:8" ht="19.899999999999999" customHeight="1">
      <c r="A162" s="970" t="s">
        <v>315</v>
      </c>
      <c r="B162" s="323"/>
      <c r="C162" s="323"/>
      <c r="D162" s="323"/>
      <c r="E162" s="323"/>
      <c r="F162" s="329" t="s">
        <v>120</v>
      </c>
      <c r="G162" s="854">
        <v>0</v>
      </c>
      <c r="H162" s="316"/>
    </row>
    <row r="163" spans="1:8" ht="19.899999999999999" customHeight="1">
      <c r="A163" s="970" t="s">
        <v>401</v>
      </c>
      <c r="B163" s="323"/>
      <c r="C163" s="323"/>
      <c r="D163" s="323"/>
      <c r="E163" s="323"/>
      <c r="F163" s="329" t="s">
        <v>121</v>
      </c>
      <c r="G163" s="854">
        <v>0</v>
      </c>
      <c r="H163" s="316"/>
    </row>
    <row r="164" spans="1:8" ht="19.899999999999999" customHeight="1">
      <c r="A164" s="970" t="s">
        <v>316</v>
      </c>
      <c r="B164" s="323"/>
      <c r="C164" s="323"/>
      <c r="D164" s="323"/>
      <c r="E164" s="323"/>
      <c r="F164" s="329" t="s">
        <v>122</v>
      </c>
      <c r="G164" s="854">
        <v>0</v>
      </c>
      <c r="H164" s="316"/>
    </row>
    <row r="165" spans="1:8" ht="19.899999999999999" customHeight="1">
      <c r="A165" s="970" t="s">
        <v>317</v>
      </c>
      <c r="B165" s="323"/>
      <c r="C165" s="323"/>
      <c r="D165" s="323"/>
      <c r="E165" s="323"/>
      <c r="F165" s="329" t="s">
        <v>123</v>
      </c>
      <c r="G165" s="854">
        <f>6785407+1525960+309600+981400</f>
        <v>9602367</v>
      </c>
      <c r="H165" s="316"/>
    </row>
    <row r="166" spans="1:8" ht="19.899999999999999" customHeight="1">
      <c r="A166" s="970" t="s">
        <v>318</v>
      </c>
      <c r="B166" s="323"/>
      <c r="C166" s="323"/>
      <c r="D166" s="323"/>
      <c r="E166" s="323"/>
      <c r="F166" s="329" t="s">
        <v>124</v>
      </c>
      <c r="G166" s="854">
        <v>60000</v>
      </c>
      <c r="H166" s="316"/>
    </row>
    <row r="167" spans="1:8" ht="19.899999999999999" customHeight="1">
      <c r="A167" s="970" t="s">
        <v>375</v>
      </c>
      <c r="B167" s="323"/>
      <c r="C167" s="323"/>
      <c r="D167" s="323"/>
      <c r="E167" s="323"/>
      <c r="F167" s="329" t="s">
        <v>125</v>
      </c>
      <c r="G167" s="854">
        <v>26750</v>
      </c>
      <c r="H167" s="316"/>
    </row>
    <row r="168" spans="1:8" ht="19.899999999999999" customHeight="1">
      <c r="A168" s="970" t="s">
        <v>410</v>
      </c>
      <c r="B168" s="323"/>
      <c r="C168" s="323"/>
      <c r="D168" s="323"/>
      <c r="E168" s="323"/>
      <c r="F168" s="329" t="s">
        <v>126</v>
      </c>
      <c r="G168" s="854">
        <v>0</v>
      </c>
      <c r="H168" s="316"/>
    </row>
    <row r="169" spans="1:8" ht="19.899999999999999" customHeight="1">
      <c r="A169" s="970" t="s">
        <v>395</v>
      </c>
      <c r="B169" s="323"/>
      <c r="C169" s="323"/>
      <c r="D169" s="323"/>
      <c r="E169" s="323"/>
      <c r="F169" s="329" t="s">
        <v>127</v>
      </c>
      <c r="G169" s="854">
        <v>2829000</v>
      </c>
      <c r="H169" s="316"/>
    </row>
    <row r="170" spans="1:8" ht="19.899999999999999" customHeight="1">
      <c r="A170" s="970" t="s">
        <v>396</v>
      </c>
      <c r="B170" s="323"/>
      <c r="C170" s="323"/>
      <c r="D170" s="323"/>
      <c r="E170" s="323"/>
      <c r="F170" s="332">
        <v>56001</v>
      </c>
      <c r="G170" s="854">
        <v>0</v>
      </c>
      <c r="H170" s="316"/>
    </row>
    <row r="171" spans="1:8" ht="19.899999999999999" customHeight="1">
      <c r="A171" s="970" t="s">
        <v>397</v>
      </c>
      <c r="B171" s="323"/>
      <c r="C171" s="323"/>
      <c r="D171" s="323"/>
      <c r="E171" s="323"/>
      <c r="F171" s="332">
        <v>56002</v>
      </c>
      <c r="G171" s="854">
        <v>0</v>
      </c>
      <c r="H171" s="316"/>
    </row>
    <row r="172" spans="1:8" ht="19.899999999999999" customHeight="1">
      <c r="A172" s="970" t="s">
        <v>398</v>
      </c>
      <c r="B172" s="323"/>
      <c r="C172" s="323"/>
      <c r="D172" s="323"/>
      <c r="E172" s="323"/>
      <c r="F172" s="332">
        <v>56003</v>
      </c>
      <c r="G172" s="854">
        <v>0</v>
      </c>
      <c r="H172" s="316"/>
    </row>
    <row r="173" spans="1:8" ht="19.899999999999999" customHeight="1">
      <c r="A173" s="970" t="s">
        <v>459</v>
      </c>
      <c r="B173" s="323"/>
      <c r="C173" s="323"/>
      <c r="D173" s="323"/>
      <c r="E173" s="323"/>
      <c r="F173" s="355" t="s">
        <v>458</v>
      </c>
      <c r="G173" s="854">
        <v>0</v>
      </c>
      <c r="H173" s="316"/>
    </row>
    <row r="174" spans="1:8" ht="19.899999999999999" customHeight="1">
      <c r="A174" s="970" t="s">
        <v>392</v>
      </c>
      <c r="B174" s="323"/>
      <c r="C174" s="323"/>
      <c r="D174" s="323"/>
      <c r="E174" s="323"/>
      <c r="F174" s="329" t="s">
        <v>128</v>
      </c>
      <c r="G174" s="854">
        <v>50000</v>
      </c>
      <c r="H174" s="316"/>
    </row>
    <row r="175" spans="1:8" ht="19.899999999999999" customHeight="1">
      <c r="A175" s="1006" t="s">
        <v>319</v>
      </c>
      <c r="B175" s="316"/>
      <c r="C175" s="316"/>
      <c r="D175" s="316"/>
      <c r="E175" s="316"/>
      <c r="F175" s="351" t="s">
        <v>129</v>
      </c>
      <c r="G175" s="854">
        <v>125000</v>
      </c>
      <c r="H175" s="316"/>
    </row>
    <row r="176" spans="1:8" ht="19.899999999999999" customHeight="1">
      <c r="A176" s="970" t="s">
        <v>320</v>
      </c>
      <c r="B176" s="323"/>
      <c r="C176" s="323"/>
      <c r="D176" s="323"/>
      <c r="E176" s="323"/>
      <c r="F176" s="329" t="s">
        <v>130</v>
      </c>
      <c r="G176" s="854">
        <v>0</v>
      </c>
      <c r="H176" s="316"/>
    </row>
    <row r="177" spans="1:8" ht="19.899999999999999" customHeight="1">
      <c r="A177" s="970" t="s">
        <v>321</v>
      </c>
      <c r="B177" s="323"/>
      <c r="C177" s="323"/>
      <c r="D177" s="323"/>
      <c r="E177" s="323"/>
      <c r="F177" s="329" t="s">
        <v>131</v>
      </c>
      <c r="G177" s="854">
        <v>346740</v>
      </c>
      <c r="H177" s="316"/>
    </row>
    <row r="178" spans="1:8" ht="19.899999999999999" customHeight="1">
      <c r="A178" s="970" t="s">
        <v>322</v>
      </c>
      <c r="B178" s="323"/>
      <c r="C178" s="323"/>
      <c r="D178" s="323"/>
      <c r="E178" s="323"/>
      <c r="F178" s="329" t="s">
        <v>132</v>
      </c>
      <c r="G178" s="854">
        <v>0</v>
      </c>
      <c r="H178" s="316"/>
    </row>
    <row r="179" spans="1:8" ht="19.899999999999999" customHeight="1">
      <c r="A179" s="970" t="s">
        <v>323</v>
      </c>
      <c r="B179" s="323"/>
      <c r="C179" s="323"/>
      <c r="D179" s="323"/>
      <c r="E179" s="323"/>
      <c r="F179" s="329" t="s">
        <v>133</v>
      </c>
      <c r="G179" s="854">
        <v>0</v>
      </c>
      <c r="H179" s="316"/>
    </row>
    <row r="180" spans="1:8" ht="19.899999999999999" customHeight="1">
      <c r="A180" s="970" t="s">
        <v>324</v>
      </c>
      <c r="B180" s="323"/>
      <c r="C180" s="323"/>
      <c r="D180" s="323"/>
      <c r="E180" s="323"/>
      <c r="F180" s="329" t="s">
        <v>134</v>
      </c>
      <c r="G180" s="854">
        <v>0</v>
      </c>
      <c r="H180" s="316"/>
    </row>
    <row r="181" spans="1:8" ht="19.899999999999999" customHeight="1">
      <c r="A181" s="970" t="s">
        <v>325</v>
      </c>
      <c r="B181" s="323"/>
      <c r="C181" s="323"/>
      <c r="D181" s="323"/>
      <c r="E181" s="323"/>
      <c r="F181" s="329" t="s">
        <v>135</v>
      </c>
      <c r="G181" s="854">
        <v>0</v>
      </c>
      <c r="H181" s="316"/>
    </row>
    <row r="182" spans="1:8" ht="19.899999999999999" customHeight="1">
      <c r="A182" s="970" t="s">
        <v>326</v>
      </c>
      <c r="B182" s="323"/>
      <c r="C182" s="323"/>
      <c r="D182" s="323"/>
      <c r="E182" s="323"/>
      <c r="F182" s="329" t="s">
        <v>136</v>
      </c>
      <c r="G182" s="854">
        <v>0</v>
      </c>
      <c r="H182" s="316"/>
    </row>
    <row r="183" spans="1:8" ht="19.899999999999999" customHeight="1">
      <c r="A183" s="970" t="s">
        <v>327</v>
      </c>
      <c r="B183" s="323"/>
      <c r="C183" s="323"/>
      <c r="D183" s="323"/>
      <c r="E183" s="323"/>
      <c r="F183" s="329" t="s">
        <v>137</v>
      </c>
      <c r="G183" s="854">
        <f>743099+3177186</f>
        <v>3920285</v>
      </c>
      <c r="H183" s="316"/>
    </row>
    <row r="184" spans="1:8" ht="19.899999999999999" customHeight="1">
      <c r="A184" s="970" t="s">
        <v>328</v>
      </c>
      <c r="B184" s="323"/>
      <c r="C184" s="323"/>
      <c r="D184" s="323"/>
      <c r="E184" s="323"/>
      <c r="F184" s="329" t="s">
        <v>138</v>
      </c>
      <c r="G184" s="854">
        <f>2702129+122307+347839+530764+91883+741786</f>
        <v>4536708</v>
      </c>
      <c r="H184" s="316"/>
    </row>
    <row r="185" spans="1:8" ht="19.899999999999999" customHeight="1">
      <c r="A185" s="970" t="s">
        <v>391</v>
      </c>
      <c r="B185" s="323"/>
      <c r="C185" s="323"/>
      <c r="D185" s="323"/>
      <c r="E185" s="323"/>
      <c r="F185" s="329" t="s">
        <v>139</v>
      </c>
      <c r="G185" s="854">
        <v>0</v>
      </c>
      <c r="H185" s="316"/>
    </row>
    <row r="186" spans="1:8" ht="19.899999999999999" customHeight="1">
      <c r="A186" s="970" t="s">
        <v>329</v>
      </c>
      <c r="B186" s="323"/>
      <c r="C186" s="323"/>
      <c r="D186" s="323"/>
      <c r="E186" s="323"/>
      <c r="F186" s="329" t="s">
        <v>140</v>
      </c>
      <c r="G186" s="854">
        <v>0</v>
      </c>
      <c r="H186" s="316"/>
    </row>
    <row r="187" spans="1:8" ht="19.899999999999999" customHeight="1">
      <c r="A187" s="970" t="s">
        <v>330</v>
      </c>
      <c r="B187" s="323"/>
      <c r="C187" s="323"/>
      <c r="D187" s="323"/>
      <c r="E187" s="323"/>
      <c r="F187" s="329" t="s">
        <v>141</v>
      </c>
      <c r="G187" s="854">
        <v>0</v>
      </c>
      <c r="H187" s="316"/>
    </row>
    <row r="188" spans="1:8" ht="19.899999999999999" customHeight="1">
      <c r="A188" s="970" t="s">
        <v>481</v>
      </c>
      <c r="B188" s="323"/>
      <c r="C188" s="323"/>
      <c r="D188" s="323"/>
      <c r="E188" s="323"/>
      <c r="F188" s="356">
        <v>59600</v>
      </c>
      <c r="G188" s="854">
        <v>0</v>
      </c>
      <c r="H188" s="316"/>
    </row>
    <row r="189" spans="1:8" ht="19.899999999999999" customHeight="1">
      <c r="A189" s="970" t="s">
        <v>331</v>
      </c>
      <c r="B189" s="323"/>
      <c r="C189" s="323"/>
      <c r="D189" s="323"/>
      <c r="E189" s="323"/>
      <c r="F189" s="329" t="s">
        <v>142</v>
      </c>
      <c r="G189" s="854">
        <f>5845290+239923+109999</f>
        <v>6195212</v>
      </c>
      <c r="H189" s="316"/>
    </row>
    <row r="190" spans="1:8" ht="19.899999999999999" customHeight="1">
      <c r="A190" s="970" t="s">
        <v>332</v>
      </c>
      <c r="B190" s="323"/>
      <c r="C190" s="323"/>
      <c r="D190" s="323"/>
      <c r="E190" s="323"/>
      <c r="F190" s="329" t="s">
        <v>143</v>
      </c>
      <c r="G190" s="854">
        <f>125000+125000+107914</f>
        <v>357914</v>
      </c>
      <c r="H190" s="316"/>
    </row>
    <row r="191" spans="1:8" ht="19.899999999999999" customHeight="1">
      <c r="A191" s="970" t="s">
        <v>333</v>
      </c>
      <c r="B191" s="323"/>
      <c r="C191" s="323"/>
      <c r="D191" s="323"/>
      <c r="E191" s="323"/>
      <c r="F191" s="329" t="s">
        <v>144</v>
      </c>
      <c r="G191" s="854">
        <v>-2500000</v>
      </c>
      <c r="H191" s="316"/>
    </row>
    <row r="192" spans="1:8" ht="19.899999999999999" customHeight="1">
      <c r="A192" s="970"/>
      <c r="B192" s="323"/>
      <c r="C192" s="323"/>
      <c r="D192" s="323"/>
      <c r="E192" s="323"/>
      <c r="F192" s="329"/>
      <c r="G192" s="1014"/>
      <c r="H192" s="316"/>
    </row>
    <row r="193" spans="1:8" ht="19.899999999999999" customHeight="1">
      <c r="A193" s="1037" t="s">
        <v>145</v>
      </c>
      <c r="B193" s="1038"/>
      <c r="C193" s="1038"/>
      <c r="D193" s="1038"/>
      <c r="E193" s="1038"/>
      <c r="F193" s="1053"/>
      <c r="G193" s="1054">
        <f>SUM(G145:G191)</f>
        <v>64101992</v>
      </c>
      <c r="H193" s="316"/>
    </row>
    <row r="194" spans="1:8" ht="19.899999999999999" customHeight="1">
      <c r="A194" s="1015"/>
      <c r="B194" s="357"/>
      <c r="C194" s="357"/>
      <c r="D194" s="357"/>
      <c r="E194" s="357"/>
      <c r="F194" s="376"/>
      <c r="G194" s="358"/>
      <c r="H194" s="316"/>
    </row>
    <row r="195" spans="1:8" ht="19.899999999999999" customHeight="1">
      <c r="A195" s="1016" t="s">
        <v>583</v>
      </c>
      <c r="B195" s="1017"/>
      <c r="C195" s="1017"/>
      <c r="D195" s="1017"/>
      <c r="E195" s="1017"/>
      <c r="F195" s="1018"/>
      <c r="G195" s="1019"/>
      <c r="H195" s="316"/>
    </row>
    <row r="196" spans="1:8" ht="19.899999999999999" customHeight="1">
      <c r="A196" s="970"/>
      <c r="B196" s="323"/>
      <c r="C196" s="323"/>
      <c r="D196" s="323"/>
      <c r="E196" s="323"/>
      <c r="F196" s="329"/>
      <c r="G196" s="354"/>
      <c r="H196" s="316"/>
    </row>
    <row r="197" spans="1:8" ht="19.899999999999999" customHeight="1">
      <c r="A197" s="970" t="s">
        <v>334</v>
      </c>
      <c r="B197" s="323"/>
      <c r="C197" s="323"/>
      <c r="D197" s="323"/>
      <c r="E197" s="323"/>
      <c r="F197" s="329" t="s">
        <v>146</v>
      </c>
      <c r="G197" s="853">
        <f>44900+114504+119689+3000+19387+15450+8000+1050</f>
        <v>325980</v>
      </c>
      <c r="H197" s="316"/>
    </row>
    <row r="198" spans="1:8" ht="19.899999999999999" customHeight="1">
      <c r="A198" s="970" t="s">
        <v>335</v>
      </c>
      <c r="B198" s="323"/>
      <c r="C198" s="323"/>
      <c r="D198" s="323"/>
      <c r="E198" s="323"/>
      <c r="F198" s="329" t="s">
        <v>147</v>
      </c>
      <c r="G198" s="854">
        <f>165644+3500</f>
        <v>169144</v>
      </c>
      <c r="H198" s="316"/>
    </row>
    <row r="199" spans="1:8" ht="19.899999999999999" customHeight="1">
      <c r="A199" s="970" t="s">
        <v>336</v>
      </c>
      <c r="B199" s="323"/>
      <c r="C199" s="323"/>
      <c r="D199" s="323"/>
      <c r="E199" s="323"/>
      <c r="F199" s="329" t="s">
        <v>148</v>
      </c>
      <c r="G199" s="854">
        <f>527710+53457+45732+152258</f>
        <v>779157</v>
      </c>
      <c r="H199" s="316"/>
    </row>
    <row r="200" spans="1:8" ht="19.899999999999999" customHeight="1">
      <c r="A200" s="970" t="s">
        <v>339</v>
      </c>
      <c r="B200" s="323"/>
      <c r="C200" s="323"/>
      <c r="D200" s="323"/>
      <c r="E200" s="323"/>
      <c r="F200" s="329" t="s">
        <v>149</v>
      </c>
      <c r="G200" s="854">
        <f>168352+85786+500</f>
        <v>254638</v>
      </c>
      <c r="H200" s="316"/>
    </row>
    <row r="201" spans="1:8" ht="19.899999999999999" customHeight="1">
      <c r="A201" s="970" t="s">
        <v>495</v>
      </c>
      <c r="B201" s="323"/>
      <c r="C201" s="323"/>
      <c r="D201" s="323"/>
      <c r="E201" s="323"/>
      <c r="F201" s="329" t="s">
        <v>150</v>
      </c>
      <c r="G201" s="854">
        <f>4150+127344+1435809+112</f>
        <v>1567415</v>
      </c>
      <c r="H201" s="316"/>
    </row>
    <row r="202" spans="1:8" ht="19.899999999999999" customHeight="1">
      <c r="A202" s="970" t="s">
        <v>341</v>
      </c>
      <c r="B202" s="323"/>
      <c r="C202" s="323"/>
      <c r="D202" s="323"/>
      <c r="E202" s="323"/>
      <c r="F202" s="329" t="s">
        <v>151</v>
      </c>
      <c r="G202" s="854">
        <f>20350+14825+4790+12710+12500+18600+86023</f>
        <v>169798</v>
      </c>
      <c r="H202" s="316"/>
    </row>
    <row r="203" spans="1:8" ht="19.899999999999999" customHeight="1">
      <c r="A203" s="970" t="s">
        <v>342</v>
      </c>
      <c r="B203" s="323"/>
      <c r="C203" s="323"/>
      <c r="D203" s="323"/>
      <c r="E203" s="323"/>
      <c r="F203" s="329" t="s">
        <v>152</v>
      </c>
      <c r="G203" s="854">
        <f>4722+1456800+3000+17000</f>
        <v>1481522</v>
      </c>
      <c r="H203" s="316"/>
    </row>
    <row r="204" spans="1:8" ht="19.899999999999999" customHeight="1">
      <c r="A204" s="970" t="s">
        <v>343</v>
      </c>
      <c r="B204" s="323"/>
      <c r="C204" s="323"/>
      <c r="D204" s="323"/>
      <c r="E204" s="323"/>
      <c r="F204" s="329" t="s">
        <v>153</v>
      </c>
      <c r="G204" s="854">
        <v>0</v>
      </c>
      <c r="H204" s="316"/>
    </row>
    <row r="205" spans="1:8" ht="19.899999999999999" customHeight="1">
      <c r="A205" s="970" t="s">
        <v>344</v>
      </c>
      <c r="B205" s="323"/>
      <c r="C205" s="323"/>
      <c r="D205" s="323"/>
      <c r="E205" s="323"/>
      <c r="F205" s="329" t="s">
        <v>154</v>
      </c>
      <c r="G205" s="854">
        <v>270000</v>
      </c>
      <c r="H205" s="316"/>
    </row>
    <row r="206" spans="1:8" ht="19.899999999999999" customHeight="1">
      <c r="A206" s="970" t="s">
        <v>345</v>
      </c>
      <c r="B206" s="323"/>
      <c r="C206" s="323"/>
      <c r="D206" s="323"/>
      <c r="E206" s="323"/>
      <c r="F206" s="329" t="s">
        <v>155</v>
      </c>
      <c r="G206" s="854">
        <v>494728</v>
      </c>
      <c r="H206" s="316"/>
    </row>
    <row r="207" spans="1:8" ht="19.899999999999999" customHeight="1">
      <c r="A207" s="970" t="s">
        <v>346</v>
      </c>
      <c r="B207" s="323"/>
      <c r="C207" s="323"/>
      <c r="D207" s="323"/>
      <c r="E207" s="323"/>
      <c r="F207" s="329" t="s">
        <v>156</v>
      </c>
      <c r="G207" s="854">
        <v>3095272</v>
      </c>
      <c r="H207" s="316"/>
    </row>
    <row r="208" spans="1:8" ht="19.899999999999999" customHeight="1">
      <c r="A208" s="970" t="s">
        <v>347</v>
      </c>
      <c r="B208" s="323"/>
      <c r="C208" s="323"/>
      <c r="D208" s="323"/>
      <c r="E208" s="323"/>
      <c r="F208" s="329" t="s">
        <v>157</v>
      </c>
      <c r="G208" s="854">
        <v>120000</v>
      </c>
      <c r="H208" s="316"/>
    </row>
    <row r="209" spans="1:8" ht="19.899999999999999" customHeight="1">
      <c r="A209" s="970" t="s">
        <v>348</v>
      </c>
      <c r="B209" s="323"/>
      <c r="C209" s="323"/>
      <c r="D209" s="323"/>
      <c r="E209" s="323"/>
      <c r="F209" s="329" t="s">
        <v>158</v>
      </c>
      <c r="G209" s="854">
        <v>100200</v>
      </c>
      <c r="H209" s="316"/>
    </row>
    <row r="210" spans="1:8" ht="19.899999999999999" customHeight="1">
      <c r="A210" s="970" t="s">
        <v>349</v>
      </c>
      <c r="B210" s="316"/>
      <c r="C210" s="316"/>
      <c r="D210" s="316"/>
      <c r="E210" s="316"/>
      <c r="F210" s="329" t="s">
        <v>159</v>
      </c>
      <c r="G210" s="854">
        <v>4925</v>
      </c>
      <c r="H210" s="316"/>
    </row>
    <row r="211" spans="1:8" ht="19.899999999999999" customHeight="1">
      <c r="A211" s="970" t="s">
        <v>350</v>
      </c>
      <c r="B211" s="316"/>
      <c r="C211" s="316"/>
      <c r="D211" s="316"/>
      <c r="E211" s="316"/>
      <c r="F211" s="332">
        <v>64007</v>
      </c>
      <c r="G211" s="854">
        <v>0</v>
      </c>
      <c r="H211" s="316"/>
    </row>
    <row r="212" spans="1:8" ht="19.899999999999999" customHeight="1">
      <c r="A212" s="970" t="s">
        <v>351</v>
      </c>
      <c r="B212" s="323"/>
      <c r="C212" s="323"/>
      <c r="D212" s="323"/>
      <c r="E212" s="323"/>
      <c r="F212" s="329" t="s">
        <v>160</v>
      </c>
      <c r="G212" s="854">
        <f>339215+5000+9000+756140+4980+435617+60000+63500+71000+517258+132989</f>
        <v>2394699</v>
      </c>
      <c r="H212" s="316"/>
    </row>
    <row r="213" spans="1:8" ht="19.899999999999999" customHeight="1">
      <c r="A213" s="970" t="s">
        <v>352</v>
      </c>
      <c r="B213" s="323"/>
      <c r="C213" s="323"/>
      <c r="D213" s="323"/>
      <c r="E213" s="323"/>
      <c r="F213" s="329" t="s">
        <v>161</v>
      </c>
      <c r="G213" s="854">
        <v>0</v>
      </c>
      <c r="H213" s="316"/>
    </row>
    <row r="214" spans="1:8" ht="19.899999999999999" customHeight="1">
      <c r="A214" s="970" t="s">
        <v>353</v>
      </c>
      <c r="B214" s="323"/>
      <c r="C214" s="323"/>
      <c r="D214" s="323"/>
      <c r="E214" s="323"/>
      <c r="F214" s="329" t="s">
        <v>162</v>
      </c>
      <c r="G214" s="854">
        <v>0</v>
      </c>
      <c r="H214" s="316"/>
    </row>
    <row r="215" spans="1:8" ht="19.899999999999999" customHeight="1">
      <c r="A215" s="970" t="s">
        <v>354</v>
      </c>
      <c r="B215" s="323"/>
      <c r="C215" s="323"/>
      <c r="D215" s="323"/>
      <c r="E215" s="323"/>
      <c r="F215" s="329" t="s">
        <v>163</v>
      </c>
      <c r="G215" s="854">
        <f>176500+5000+94000+335391+54885+212664</f>
        <v>878440</v>
      </c>
      <c r="H215" s="316"/>
    </row>
    <row r="216" spans="1:8" ht="19.899999999999999" customHeight="1">
      <c r="A216" s="970" t="s">
        <v>406</v>
      </c>
      <c r="B216" s="323"/>
      <c r="C216" s="323"/>
      <c r="D216" s="323"/>
      <c r="E216" s="323"/>
      <c r="F216" s="329" t="s">
        <v>164</v>
      </c>
      <c r="G216" s="854">
        <f>1293183+161566+11300+2910+500+5500</f>
        <v>1474959</v>
      </c>
      <c r="H216" s="316"/>
    </row>
    <row r="217" spans="1:8" ht="19.899999999999999" customHeight="1">
      <c r="A217" s="970" t="s">
        <v>355</v>
      </c>
      <c r="B217" s="316"/>
      <c r="C217" s="316"/>
      <c r="D217" s="316"/>
      <c r="E217" s="316"/>
      <c r="F217" s="351" t="s">
        <v>165</v>
      </c>
      <c r="G217" s="854">
        <f>530053+1294041</f>
        <v>1824094</v>
      </c>
      <c r="H217" s="316"/>
    </row>
    <row r="218" spans="1:8" ht="19.899999999999999" customHeight="1">
      <c r="A218" s="970" t="s">
        <v>407</v>
      </c>
      <c r="B218" s="323"/>
      <c r="C218" s="323"/>
      <c r="D218" s="323"/>
      <c r="E218" s="323"/>
      <c r="F218" s="329" t="s">
        <v>166</v>
      </c>
      <c r="G218" s="854">
        <f>179504+150200+29500+80415</f>
        <v>439619</v>
      </c>
      <c r="H218" s="316"/>
    </row>
    <row r="219" spans="1:8" ht="19.899999999999999" customHeight="1">
      <c r="A219" s="970" t="s">
        <v>356</v>
      </c>
      <c r="B219" s="323"/>
      <c r="C219" s="323"/>
      <c r="D219" s="323"/>
      <c r="E219" s="323"/>
      <c r="F219" s="329" t="s">
        <v>167</v>
      </c>
      <c r="G219" s="854">
        <f>148900+36665+22742+13980</f>
        <v>222287</v>
      </c>
      <c r="H219" s="316"/>
    </row>
    <row r="220" spans="1:8" ht="19.899999999999999" customHeight="1">
      <c r="A220" s="971" t="s">
        <v>357</v>
      </c>
      <c r="B220" s="326"/>
      <c r="C220" s="326"/>
      <c r="D220" s="326"/>
      <c r="E220" s="326"/>
      <c r="F220" s="343" t="s">
        <v>168</v>
      </c>
      <c r="G220" s="854">
        <f>7299+18705+38360+1290+14500+58700</f>
        <v>138854</v>
      </c>
      <c r="H220" s="316"/>
    </row>
    <row r="221" spans="1:8" ht="19.899999999999999" customHeight="1">
      <c r="A221" s="970" t="s">
        <v>358</v>
      </c>
      <c r="B221" s="323"/>
      <c r="C221" s="323"/>
      <c r="D221" s="323"/>
      <c r="E221" s="323"/>
      <c r="F221" s="348" t="s">
        <v>169</v>
      </c>
      <c r="G221" s="854">
        <f>209000+10000-140000</f>
        <v>79000</v>
      </c>
      <c r="H221" s="316"/>
    </row>
    <row r="222" spans="1:8" ht="19.899999999999999" customHeight="1">
      <c r="A222" s="970" t="s">
        <v>359</v>
      </c>
      <c r="B222" s="323"/>
      <c r="C222" s="323"/>
      <c r="D222" s="323"/>
      <c r="E222" s="323"/>
      <c r="F222" s="329" t="s">
        <v>170</v>
      </c>
      <c r="G222" s="854">
        <v>0</v>
      </c>
      <c r="H222" s="316"/>
    </row>
    <row r="223" spans="1:8" ht="19.899999999999999" customHeight="1">
      <c r="A223" s="970" t="s">
        <v>360</v>
      </c>
      <c r="B223" s="323"/>
      <c r="C223" s="323"/>
      <c r="D223" s="323"/>
      <c r="E223" s="323"/>
      <c r="F223" s="329" t="s">
        <v>171</v>
      </c>
      <c r="G223" s="854">
        <v>0</v>
      </c>
      <c r="H223" s="316"/>
    </row>
    <row r="224" spans="1:8" ht="19.899999999999999" customHeight="1">
      <c r="A224" s="970" t="s">
        <v>361</v>
      </c>
      <c r="B224" s="323"/>
      <c r="C224" s="323"/>
      <c r="D224" s="323"/>
      <c r="E224" s="323"/>
      <c r="F224" s="329" t="s">
        <v>172</v>
      </c>
      <c r="G224" s="854">
        <v>847500</v>
      </c>
      <c r="H224" s="316"/>
    </row>
    <row r="225" spans="1:9" ht="19.899999999999999" customHeight="1">
      <c r="A225" s="970" t="s">
        <v>362</v>
      </c>
      <c r="B225" s="323"/>
      <c r="C225" s="323"/>
      <c r="D225" s="323"/>
      <c r="E225" s="323"/>
      <c r="F225" s="329" t="s">
        <v>173</v>
      </c>
      <c r="G225" s="854">
        <v>0</v>
      </c>
      <c r="H225" s="316"/>
    </row>
    <row r="226" spans="1:9" ht="19.899999999999999" customHeight="1">
      <c r="A226" s="970" t="s">
        <v>363</v>
      </c>
      <c r="B226" s="323"/>
      <c r="C226" s="323"/>
      <c r="D226" s="323"/>
      <c r="E226" s="323"/>
      <c r="F226" s="329" t="s">
        <v>174</v>
      </c>
      <c r="G226" s="854">
        <v>0</v>
      </c>
      <c r="H226" s="316"/>
    </row>
    <row r="227" spans="1:9" ht="19.899999999999999" customHeight="1">
      <c r="A227" s="1020" t="s">
        <v>439</v>
      </c>
      <c r="B227" s="323"/>
      <c r="C227" s="323"/>
      <c r="D227" s="359"/>
      <c r="E227" s="323"/>
      <c r="F227" s="360" t="s">
        <v>234</v>
      </c>
      <c r="G227" s="854">
        <v>0</v>
      </c>
      <c r="H227" s="316"/>
    </row>
    <row r="228" spans="1:9" ht="19.899999999999999" customHeight="1">
      <c r="A228" s="1020" t="s">
        <v>440</v>
      </c>
      <c r="B228" s="361"/>
      <c r="C228" s="361"/>
      <c r="D228" s="362"/>
      <c r="E228" s="361"/>
      <c r="F228" s="363" t="s">
        <v>250</v>
      </c>
      <c r="G228" s="854">
        <v>675000</v>
      </c>
      <c r="H228" s="316"/>
    </row>
    <row r="229" spans="1:9" ht="19.899999999999999" customHeight="1">
      <c r="A229" s="1020" t="s">
        <v>441</v>
      </c>
      <c r="B229" s="361"/>
      <c r="C229" s="361"/>
      <c r="D229" s="362"/>
      <c r="E229" s="361"/>
      <c r="F229" s="363" t="s">
        <v>251</v>
      </c>
      <c r="G229" s="854">
        <v>0</v>
      </c>
      <c r="H229" s="316"/>
    </row>
    <row r="230" spans="1:9" ht="19.899999999999999" customHeight="1">
      <c r="A230" s="1020" t="s">
        <v>442</v>
      </c>
      <c r="B230" s="361"/>
      <c r="C230" s="361"/>
      <c r="D230" s="362"/>
      <c r="E230" s="361"/>
      <c r="F230" s="364" t="s">
        <v>175</v>
      </c>
      <c r="G230" s="854">
        <v>0</v>
      </c>
      <c r="H230" s="316"/>
    </row>
    <row r="231" spans="1:9" ht="19.899999999999999" customHeight="1">
      <c r="A231" s="1020" t="s">
        <v>448</v>
      </c>
      <c r="B231" s="361"/>
      <c r="C231" s="361"/>
      <c r="D231" s="362"/>
      <c r="E231" s="361"/>
      <c r="F231" s="365">
        <v>69270</v>
      </c>
      <c r="G231" s="854">
        <v>0</v>
      </c>
      <c r="H231" s="316"/>
    </row>
    <row r="232" spans="1:9" ht="19.899999999999999" customHeight="1">
      <c r="A232" s="970" t="s">
        <v>366</v>
      </c>
      <c r="B232" s="323"/>
      <c r="C232" s="323"/>
      <c r="D232" s="323"/>
      <c r="E232" s="323"/>
      <c r="F232" s="329" t="s">
        <v>176</v>
      </c>
      <c r="G232" s="854">
        <f>700000+75000+17500+18000+1500</f>
        <v>812000</v>
      </c>
      <c r="H232" s="316"/>
      <c r="I232" s="366"/>
    </row>
    <row r="233" spans="1:9" ht="19.899999999999999" customHeight="1">
      <c r="A233" s="970" t="s">
        <v>597</v>
      </c>
      <c r="B233" s="323"/>
      <c r="C233" s="323"/>
      <c r="D233" s="323"/>
      <c r="E233" s="323"/>
      <c r="F233" s="329" t="s">
        <v>177</v>
      </c>
      <c r="G233" s="854">
        <v>0</v>
      </c>
      <c r="H233" s="316"/>
    </row>
    <row r="234" spans="1:9" ht="19.899999999999999" customHeight="1">
      <c r="A234" s="970" t="s">
        <v>367</v>
      </c>
      <c r="B234" s="323"/>
      <c r="C234" s="323"/>
      <c r="D234" s="323"/>
      <c r="E234" s="323"/>
      <c r="F234" s="329" t="s">
        <v>178</v>
      </c>
      <c r="G234" s="1021">
        <v>435500</v>
      </c>
      <c r="H234" s="316"/>
    </row>
    <row r="235" spans="1:9" ht="19.899999999999999" customHeight="1">
      <c r="A235" s="970"/>
      <c r="B235" s="323"/>
      <c r="C235" s="323"/>
      <c r="D235" s="323"/>
      <c r="E235" s="323"/>
      <c r="F235" s="329"/>
      <c r="G235" s="367"/>
      <c r="H235" s="316"/>
    </row>
    <row r="236" spans="1:9" ht="19.899999999999999" customHeight="1">
      <c r="A236" s="1002" t="s">
        <v>584</v>
      </c>
      <c r="B236" s="980"/>
      <c r="C236" s="980"/>
      <c r="D236" s="980"/>
      <c r="E236" s="980"/>
      <c r="F236" s="981"/>
      <c r="G236" s="1022">
        <f>SUM(G197:G234)</f>
        <v>19054731</v>
      </c>
      <c r="H236" s="316"/>
    </row>
    <row r="237" spans="1:9" ht="19.899999999999999" customHeight="1">
      <c r="A237" s="1015"/>
      <c r="B237" s="357"/>
      <c r="C237" s="357"/>
      <c r="D237" s="357"/>
      <c r="E237" s="357"/>
      <c r="F237" s="1023"/>
      <c r="G237" s="1024"/>
      <c r="H237" s="316"/>
    </row>
    <row r="238" spans="1:9" ht="19.899999999999999" customHeight="1">
      <c r="A238" s="1136" t="s">
        <v>13</v>
      </c>
      <c r="B238" s="1137"/>
      <c r="C238" s="1137"/>
      <c r="D238" s="1137"/>
      <c r="E238" s="1137"/>
      <c r="F238" s="1138"/>
      <c r="G238" s="1025"/>
      <c r="H238" s="316"/>
    </row>
    <row r="239" spans="1:9" ht="19.899999999999999" customHeight="1">
      <c r="A239" s="970"/>
      <c r="B239" s="323"/>
      <c r="C239" s="323"/>
      <c r="D239" s="323"/>
      <c r="E239" s="323"/>
      <c r="F239" s="329"/>
      <c r="G239" s="367"/>
      <c r="H239" s="316"/>
    </row>
    <row r="240" spans="1:9" ht="19.899999999999999" customHeight="1">
      <c r="A240" s="971" t="s">
        <v>370</v>
      </c>
      <c r="B240" s="326"/>
      <c r="C240" s="326"/>
      <c r="D240" s="326"/>
      <c r="E240" s="326"/>
      <c r="F240" s="343" t="s">
        <v>180</v>
      </c>
      <c r="G240" s="855">
        <v>1168265</v>
      </c>
      <c r="H240" s="316"/>
    </row>
    <row r="241" spans="1:10" ht="19.899999999999999" customHeight="1">
      <c r="A241" s="971" t="s">
        <v>449</v>
      </c>
      <c r="B241" s="326"/>
      <c r="C241" s="326"/>
      <c r="D241" s="326"/>
      <c r="E241" s="326"/>
      <c r="F241" s="343" t="s">
        <v>181</v>
      </c>
      <c r="G241" s="856">
        <v>0</v>
      </c>
      <c r="H241" s="316"/>
    </row>
    <row r="242" spans="1:10" ht="19.899999999999999" customHeight="1">
      <c r="A242" s="970" t="s">
        <v>368</v>
      </c>
      <c r="B242" s="323"/>
      <c r="C242" s="323"/>
      <c r="D242" s="323"/>
      <c r="E242" s="323"/>
      <c r="F242" s="329" t="s">
        <v>182</v>
      </c>
      <c r="G242" s="856">
        <v>0</v>
      </c>
      <c r="H242" s="316"/>
    </row>
    <row r="243" spans="1:10" ht="19.899999999999999" customHeight="1">
      <c r="A243" s="971" t="s">
        <v>369</v>
      </c>
      <c r="B243" s="326"/>
      <c r="C243" s="326"/>
      <c r="D243" s="326"/>
      <c r="E243" s="326"/>
      <c r="F243" s="343" t="s">
        <v>183</v>
      </c>
      <c r="G243" s="856">
        <v>0</v>
      </c>
      <c r="H243" s="1060"/>
      <c r="I243" s="319"/>
    </row>
    <row r="244" spans="1:10" ht="19.899999999999999" customHeight="1">
      <c r="A244" s="971" t="s">
        <v>499</v>
      </c>
      <c r="B244" s="326"/>
      <c r="C244" s="326"/>
      <c r="D244" s="326"/>
      <c r="E244" s="326"/>
      <c r="F244" s="350">
        <v>73050</v>
      </c>
      <c r="G244" s="856">
        <v>0</v>
      </c>
      <c r="H244" s="1060"/>
      <c r="I244" s="319"/>
    </row>
    <row r="245" spans="1:10" ht="19.899999999999999" customHeight="1">
      <c r="A245" s="971" t="s">
        <v>372</v>
      </c>
      <c r="B245" s="326"/>
      <c r="C245" s="326"/>
      <c r="D245" s="326"/>
      <c r="E245" s="326"/>
      <c r="F245" s="343" t="s">
        <v>184</v>
      </c>
      <c r="G245" s="856">
        <v>0</v>
      </c>
      <c r="H245" s="1060"/>
      <c r="I245" s="319"/>
    </row>
    <row r="246" spans="1:10" ht="19.899999999999999" customHeight="1">
      <c r="A246" s="971" t="s">
        <v>498</v>
      </c>
      <c r="B246" s="326"/>
      <c r="C246" s="326"/>
      <c r="D246" s="326"/>
      <c r="E246" s="326"/>
      <c r="F246" s="343" t="s">
        <v>185</v>
      </c>
      <c r="G246" s="856">
        <v>0</v>
      </c>
      <c r="H246" s="1060"/>
      <c r="I246" s="319"/>
      <c r="J246" s="319"/>
    </row>
    <row r="247" spans="1:10" s="319" customFormat="1" ht="19.899999999999999" customHeight="1">
      <c r="A247" s="971" t="s">
        <v>373</v>
      </c>
      <c r="B247" s="326"/>
      <c r="C247" s="326"/>
      <c r="D247" s="326"/>
      <c r="E247" s="326"/>
      <c r="F247" s="343" t="s">
        <v>186</v>
      </c>
      <c r="G247" s="856">
        <v>0</v>
      </c>
      <c r="H247" s="1060"/>
    </row>
    <row r="248" spans="1:10" ht="19.899999999999999" customHeight="1">
      <c r="A248" s="971" t="s">
        <v>496</v>
      </c>
      <c r="B248" s="326"/>
      <c r="C248" s="326"/>
      <c r="D248" s="326"/>
      <c r="E248" s="326"/>
      <c r="F248" s="343" t="s">
        <v>187</v>
      </c>
      <c r="G248" s="856">
        <v>0</v>
      </c>
      <c r="H248" s="1060"/>
      <c r="I248" s="319"/>
      <c r="J248" s="319"/>
    </row>
    <row r="249" spans="1:10" ht="19.899999999999999" customHeight="1">
      <c r="A249" s="971" t="s">
        <v>374</v>
      </c>
      <c r="B249" s="326"/>
      <c r="C249" s="326"/>
      <c r="D249" s="326"/>
      <c r="E249" s="326"/>
      <c r="F249" s="343" t="s">
        <v>188</v>
      </c>
      <c r="G249" s="856">
        <v>0</v>
      </c>
      <c r="H249" s="1060"/>
      <c r="I249" s="319"/>
    </row>
    <row r="250" spans="1:10" ht="19.899999999999999" customHeight="1">
      <c r="A250" s="971"/>
      <c r="B250" s="326"/>
      <c r="C250" s="326"/>
      <c r="D250" s="326"/>
      <c r="E250" s="326"/>
      <c r="F250" s="343"/>
      <c r="G250" s="1026"/>
      <c r="H250" s="1060"/>
      <c r="I250" s="319"/>
    </row>
    <row r="251" spans="1:10" ht="19.899999999999999" customHeight="1">
      <c r="A251" s="1002" t="s">
        <v>189</v>
      </c>
      <c r="B251" s="980"/>
      <c r="C251" s="980"/>
      <c r="D251" s="980"/>
      <c r="E251" s="980"/>
      <c r="F251" s="981"/>
      <c r="G251" s="1022">
        <f>SUM(G240:G249)</f>
        <v>1168265</v>
      </c>
      <c r="H251" s="316"/>
    </row>
    <row r="252" spans="1:10" ht="19.899999999999999" customHeight="1">
      <c r="A252" s="1015"/>
      <c r="B252" s="357"/>
      <c r="C252" s="357"/>
      <c r="D252" s="357"/>
      <c r="E252" s="357"/>
      <c r="F252" s="357"/>
      <c r="G252" s="1027"/>
      <c r="H252" s="316"/>
    </row>
    <row r="253" spans="1:10" ht="19.899999999999999" customHeight="1" thickBot="1">
      <c r="A253" s="1055" t="s">
        <v>235</v>
      </c>
      <c r="B253" s="1056"/>
      <c r="C253" s="1056"/>
      <c r="D253" s="1056"/>
      <c r="E253" s="1056"/>
      <c r="F253" s="1057"/>
      <c r="G253" s="1058">
        <f>SUM(G193+G236+G251)</f>
        <v>84324988</v>
      </c>
      <c r="H253" s="316"/>
    </row>
    <row r="254" spans="1:10" ht="19.899999999999999" customHeight="1" thickTop="1">
      <c r="A254" s="1028"/>
      <c r="B254" s="1029"/>
      <c r="C254" s="1029"/>
      <c r="D254" s="1029"/>
      <c r="E254" s="1029"/>
      <c r="F254" s="1030"/>
      <c r="G254" s="1031"/>
      <c r="H254" s="316"/>
    </row>
    <row r="255" spans="1:10" ht="19.899999999999999" customHeight="1">
      <c r="A255" s="1139"/>
      <c r="B255" s="1140"/>
      <c r="C255" s="1140"/>
      <c r="D255" s="1140"/>
      <c r="E255" s="1140"/>
      <c r="F255" s="1141"/>
      <c r="G255" s="1032"/>
      <c r="H255" s="316"/>
    </row>
    <row r="256" spans="1:10" ht="19.899999999999999" customHeight="1">
      <c r="A256" s="970"/>
      <c r="B256" s="323"/>
      <c r="C256" s="323"/>
      <c r="D256" s="323"/>
      <c r="E256" s="323"/>
      <c r="F256" s="329"/>
      <c r="G256" s="367"/>
      <c r="H256" s="316"/>
    </row>
    <row r="257" spans="1:12" ht="19.899999999999999" customHeight="1">
      <c r="A257" s="970" t="s">
        <v>190</v>
      </c>
      <c r="B257" s="323"/>
      <c r="C257" s="323"/>
      <c r="D257" s="323"/>
      <c r="E257" s="323"/>
      <c r="F257" s="368">
        <v>30100</v>
      </c>
      <c r="G257" s="853">
        <v>0</v>
      </c>
      <c r="H257" s="316"/>
    </row>
    <row r="258" spans="1:12" ht="19.899999999999999" customHeight="1">
      <c r="A258" s="970" t="s">
        <v>497</v>
      </c>
      <c r="B258" s="323"/>
      <c r="C258" s="323"/>
      <c r="D258" s="323"/>
      <c r="E258" s="323"/>
      <c r="F258" s="368">
        <v>30200</v>
      </c>
      <c r="G258" s="854">
        <v>0</v>
      </c>
      <c r="H258" s="316"/>
    </row>
    <row r="259" spans="1:12" ht="19.899999999999999" customHeight="1">
      <c r="A259" s="970" t="s">
        <v>191</v>
      </c>
      <c r="B259" s="323"/>
      <c r="C259" s="323"/>
      <c r="D259" s="323"/>
      <c r="E259" s="323"/>
      <c r="F259" s="368">
        <v>30300</v>
      </c>
      <c r="G259" s="854">
        <v>0</v>
      </c>
      <c r="H259" s="316"/>
    </row>
    <row r="260" spans="1:12" ht="19.899999999999999" customHeight="1">
      <c r="A260" s="970" t="s">
        <v>192</v>
      </c>
      <c r="B260" s="323"/>
      <c r="C260" s="323"/>
      <c r="D260" s="323"/>
      <c r="E260" s="323"/>
      <c r="F260" s="368">
        <v>30400</v>
      </c>
      <c r="G260" s="854">
        <v>0</v>
      </c>
      <c r="H260" s="316"/>
    </row>
    <row r="261" spans="1:12" ht="19.899999999999999" customHeight="1">
      <c r="A261" s="970" t="s">
        <v>193</v>
      </c>
      <c r="B261" s="323"/>
      <c r="C261" s="323"/>
      <c r="D261" s="323"/>
      <c r="E261" s="323"/>
      <c r="F261" s="368">
        <v>30500</v>
      </c>
      <c r="G261" s="854">
        <v>0</v>
      </c>
      <c r="H261" s="316"/>
    </row>
    <row r="262" spans="1:12" ht="19.899999999999999" customHeight="1">
      <c r="A262" s="970" t="s">
        <v>194</v>
      </c>
      <c r="B262" s="323"/>
      <c r="C262" s="323"/>
      <c r="D262" s="323"/>
      <c r="E262" s="323"/>
      <c r="F262" s="368">
        <v>30600</v>
      </c>
      <c r="G262" s="854">
        <v>0</v>
      </c>
      <c r="H262" s="316"/>
    </row>
    <row r="263" spans="1:12" ht="19.899999999999999" customHeight="1">
      <c r="A263" s="970" t="s">
        <v>195</v>
      </c>
      <c r="B263" s="323"/>
      <c r="C263" s="323"/>
      <c r="D263" s="323"/>
      <c r="E263" s="323"/>
      <c r="F263" s="368">
        <v>30700</v>
      </c>
      <c r="G263" s="854">
        <v>0</v>
      </c>
      <c r="H263" s="316"/>
    </row>
    <row r="264" spans="1:12" ht="19.899999999999999" customHeight="1">
      <c r="A264" s="970" t="s">
        <v>196</v>
      </c>
      <c r="B264" s="323"/>
      <c r="C264" s="323"/>
      <c r="D264" s="323"/>
      <c r="E264" s="323"/>
      <c r="F264" s="368">
        <v>30900</v>
      </c>
      <c r="G264" s="854">
        <v>2448665</v>
      </c>
      <c r="H264" s="316"/>
    </row>
    <row r="265" spans="1:12" ht="19.899999999999999" customHeight="1">
      <c r="A265" s="970" t="s">
        <v>197</v>
      </c>
      <c r="B265" s="323"/>
      <c r="C265" s="323"/>
      <c r="D265" s="323"/>
      <c r="E265" s="323"/>
      <c r="F265" s="368">
        <v>31100</v>
      </c>
      <c r="G265" s="1033">
        <v>10872372</v>
      </c>
      <c r="H265" s="316"/>
    </row>
    <row r="266" spans="1:12" ht="19.899999999999999" customHeight="1">
      <c r="A266" s="970"/>
      <c r="B266" s="323"/>
      <c r="C266" s="323"/>
      <c r="D266" s="323"/>
      <c r="E266" s="323"/>
      <c r="F266" s="368"/>
      <c r="G266" s="1034"/>
      <c r="H266" s="316"/>
    </row>
    <row r="267" spans="1:12" ht="19.899999999999999" customHeight="1">
      <c r="A267" s="972" t="s">
        <v>476</v>
      </c>
      <c r="B267" s="323"/>
      <c r="C267" s="323"/>
      <c r="D267" s="323"/>
      <c r="E267" s="323"/>
      <c r="F267" s="368"/>
      <c r="G267" s="1035">
        <f>SUM(G257:G265)</f>
        <v>13321037</v>
      </c>
      <c r="H267" s="316"/>
    </row>
    <row r="268" spans="1:12" ht="19.899999999999999" customHeight="1">
      <c r="A268" s="972"/>
      <c r="B268" s="323"/>
      <c r="C268" s="323"/>
      <c r="D268" s="323"/>
      <c r="E268" s="323"/>
      <c r="F268" s="368"/>
      <c r="G268" s="367"/>
      <c r="H268" s="316"/>
    </row>
    <row r="269" spans="1:12" ht="19.899999999999999" customHeight="1" thickBot="1">
      <c r="A269" s="1036" t="s">
        <v>720</v>
      </c>
      <c r="B269" s="316"/>
      <c r="C269" s="316"/>
      <c r="D269" s="316"/>
      <c r="E269" s="316"/>
      <c r="F269" s="351">
        <v>30800</v>
      </c>
      <c r="G269" s="857">
        <v>-50460465</v>
      </c>
      <c r="H269" s="1061"/>
    </row>
    <row r="270" spans="1:12" ht="19.899999999999999" customHeight="1">
      <c r="A270" s="1006"/>
      <c r="B270" s="316"/>
      <c r="C270" s="316"/>
      <c r="D270" s="316"/>
      <c r="E270" s="316"/>
      <c r="F270" s="351"/>
      <c r="G270" s="367"/>
      <c r="H270" s="316"/>
    </row>
    <row r="271" spans="1:12" ht="19.899999999999999" customHeight="1">
      <c r="A271" s="1037" t="s">
        <v>245</v>
      </c>
      <c r="B271" s="1038"/>
      <c r="C271" s="1038"/>
      <c r="D271" s="1038"/>
      <c r="E271" s="1038"/>
      <c r="F271" s="1039"/>
      <c r="G271" s="1040">
        <f>G267+G269</f>
        <v>-37139428</v>
      </c>
      <c r="H271" s="1062"/>
    </row>
    <row r="272" spans="1:12">
      <c r="A272" s="369"/>
      <c r="B272" s="369"/>
      <c r="C272" s="369"/>
      <c r="D272" s="369"/>
      <c r="E272" s="369"/>
      <c r="F272" s="370"/>
      <c r="G272" s="371"/>
      <c r="H272" s="372"/>
      <c r="I272" s="372"/>
      <c r="J272" s="372"/>
      <c r="K272" s="372"/>
      <c r="L272" s="372"/>
    </row>
    <row r="273" spans="1:12" s="319" customFormat="1" ht="13.5" customHeight="1">
      <c r="A273" s="1142"/>
      <c r="B273" s="1142"/>
      <c r="C273" s="1142"/>
      <c r="D273" s="1142"/>
      <c r="E273" s="1142"/>
      <c r="F273" s="1142"/>
      <c r="G273" s="1142"/>
      <c r="H273" s="1142"/>
      <c r="I273" s="373"/>
      <c r="J273" s="373"/>
      <c r="K273" s="373"/>
      <c r="L273" s="373"/>
    </row>
    <row r="274" spans="1:12" s="319" customFormat="1">
      <c r="A274" s="1142"/>
      <c r="B274" s="1142"/>
      <c r="C274" s="1142"/>
      <c r="D274" s="1142"/>
      <c r="E274" s="1142"/>
      <c r="F274" s="1142"/>
      <c r="G274" s="1142"/>
      <c r="H274" s="1142"/>
      <c r="I274" s="373"/>
      <c r="J274" s="373"/>
      <c r="K274" s="373"/>
      <c r="L274" s="373"/>
    </row>
    <row r="275" spans="1:12" s="319" customFormat="1">
      <c r="A275" s="1142"/>
      <c r="B275" s="1142"/>
      <c r="C275" s="1142"/>
      <c r="D275" s="1142"/>
      <c r="E275" s="1142"/>
      <c r="F275" s="1142"/>
      <c r="G275" s="1142"/>
      <c r="H275" s="1142"/>
    </row>
  </sheetData>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 sqref="G220:G227 G215 G229:G233" unlocked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2018-06-19T19:25:12Z</cp:lastPrinted>
  <dcterms:created xsi:type="dcterms:W3CDTF">2005-03-22T15:46:43Z</dcterms:created>
  <dcterms:modified xsi:type="dcterms:W3CDTF">2020-01-23T13:28:08Z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